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0" firstSheet="29" activeTab="29"/>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state="hidden" r:id="rId44"/>
    <sheet name="Договоры" sheetId="44" state="hidden" r:id="rId45"/>
    <sheet name="Порядок ТП" sheetId="45" state="hidden" r:id="rId46"/>
    <sheet name="Предложение" sheetId="46" r:id="rId47"/>
    <sheet name="Сведения о закупках" sheetId="47"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Т-гор.вода'!$185:$186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Т-гор.вода'!$187:$188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тарифов'!$100:$153</definedName>
    <definedName name="BLOCK_PT_VOTV">'Перечень тарифов'!$155:$169</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территорий'!$E$54:$I$54</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тарифов'!$Z$12:$Z$171</definedName>
    <definedName name="DIFFERENTIATION_TARIFF_VD_ID">'Перечень тарифов'!$AB$12:$AB$171</definedName>
    <definedName name="DIFFERENTIATION_TARIFF_VTAR_ID">'Перечень тарифов'!$AA$12:$AA$171</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Т-подкл(инд)'!$AD$8:$AI$8</definedName>
    <definedName name="et_HEAT_TARIFF_H_PERIOD_NOT_COLOR">'ТС. Т-подкл(инд)'!$AD$19:$AI$19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Т-подкл(инд)'!$AO$37</definedName>
    <definedName name="HEAT_TARIFF_H_ADD_HL_LOAD_COLUMN_MARKER">'ТС. Т-подкл(инд)'!$AM$37</definedName>
    <definedName name="HEAT_TARIFF_H_ADD_HL_NETS_COLUMN_MARKER">'ТС. Т-подкл(инд)'!$AN$37</definedName>
    <definedName name="HEAT_TARIFF_H_DEL_HL_DIAMETERS_COLUMN_MARKER">'ТС. Т-подкл(инд)'!$AO$37</definedName>
    <definedName name="HEAT_TARIFF_H_DEL_HL_GC_COLUMN_MARKER">'ТС. Т-подкл(инд)'!$Q$37</definedName>
    <definedName name="HEAT_TARIFF_H_DEL_HL_LOAD_COLUMN_MARKER">'ТС. Т-подкл(инд)'!$AM$37</definedName>
    <definedName name="HEAT_TARIFF_H_DEL_HL_NETS_COLUMN_MARKER">'ТС. Т-подкл(инд)'!$AN$37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Т-подкл(инд)'!$AO$37</definedName>
    <definedName name="HEAT_TARIFF_H_NUM_GC_COLUMN_MARKER">'ТС. Т-подкл(инд)'!$J$43</definedName>
    <definedName name="HEAT_TARIFF_H_NUM_IST_TE_COLUMN_MARKER">'ТС. Т-подкл(инд)'!$H$43</definedName>
    <definedName name="HEAT_TARIFF_H_NUM_LOAD_COLUMN_MARKER">'ТС. Т-подкл(инд)'!$AM$37</definedName>
    <definedName name="HEAT_TARIFF_H_NUM_NETS_COLUMN_MARKER">'ТС. Т-подкл(инд)'!$AN$37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Предложение!$145:$147</definedName>
    <definedName name="OFFER_TARIFF_A_4">Предложение!$206:$208</definedName>
    <definedName name="OFFER_TARIFF_A_5">Предложение!$264:$266</definedName>
    <definedName name="OFFER_TARIFF_A_COLDVSNA_1">Предложение!$48:$50</definedName>
    <definedName name="OFFER_TARIFF_A_COLDVSNA_2">Предложение!$108:$110</definedName>
    <definedName name="OFFER_TARIFF_A_COLDVSNA_3">Предложение!$169:$171</definedName>
    <definedName name="OFFER_TARIFF_A_COLDVSNA_4">Предложение!$230:$232</definedName>
    <definedName name="OFFER_TARIFF_A_COLDVSNA_5">Предложение!$288:$290</definedName>
    <definedName name="OFFER_TARIFF_A_HOTVSNA_1">Предложение!$63:$65</definedName>
    <definedName name="OFFER_TARIFF_A_HOTVSNA_2">Предложение!$123:$128</definedName>
    <definedName name="OFFER_TARIFF_A_HOTVSNA_3">Предложение!$184:$189</definedName>
    <definedName name="OFFER_TARIFF_A_HOTVSNA_4">Предложение!$245:$247</definedName>
    <definedName name="OFFER_TARIFF_A_HOTVSNA_5">Предложение!$303:$305</definedName>
    <definedName name="OFFER_TARIFF_A_VOTV_1">Предложение!$72:$74</definedName>
    <definedName name="OFFER_TARIFF_A_VOTV_2">Предложение!$135:$137</definedName>
    <definedName name="OFFER_TARIFF_A_VOTV_3">Предложение!$196:$198</definedName>
    <definedName name="OFFER_TARIFF_A_VOTV_4">Предложение!$254:$256</definedName>
    <definedName name="OFFER_TARIFF_A_VOTV_5">Предложение!$312:$314</definedName>
    <definedName name="OFFER_TARIFF_B_1">Предложение!$27:$29</definedName>
    <definedName name="OFFER_TARIFF_B_2">Предложение!$87:$89</definedName>
    <definedName name="OFFER_TARIFF_B_3">Предложение!$148:$150</definedName>
    <definedName name="OFFER_TARIFF_B_4">Предложение!$209:$211</definedName>
    <definedName name="OFFER_TARIFF_B_5">Предложение!$267:$269</definedName>
    <definedName name="OFFER_TARIFF_B_COLDVSNA_1">Предложение!$51:$53</definedName>
    <definedName name="OFFER_TARIFF_B_COLDVSNA_2">Предложение!$111:$113</definedName>
    <definedName name="OFFER_TARIFF_B_COLDVSNA_3">Предложение!$172:$174</definedName>
    <definedName name="OFFER_TARIFF_B_COLDVSNA_4">Предложение!$233:$235</definedName>
    <definedName name="OFFER_TARIFF_B_COLDVSNA_5">Предложение!$291:$293</definedName>
    <definedName name="OFFER_TARIFF_B_HOTVSNA_1">Предложение!$66:$68</definedName>
    <definedName name="OFFER_TARIFF_B_HOTVSNA_2">Предложение!$129:$131</definedName>
    <definedName name="OFFER_TARIFF_B_HOTVSNA_3">Предложение!$190:$192</definedName>
    <definedName name="OFFER_TARIFF_B_HOTVSNA_4">Предложение!$248:$250</definedName>
    <definedName name="OFFER_TARIFF_B_HOTVSNA_5">Предложение!$306:$308</definedName>
    <definedName name="OFFER_TARIFF_B_VOTV_1">Предложение!$75:$77</definedName>
    <definedName name="OFFER_TARIFF_B_VOTV_2">Предложение!$138:$140</definedName>
    <definedName name="OFFER_TARIFF_B_VOTV_3">Предложение!$199:$201</definedName>
    <definedName name="OFFER_TARIFF_B_VOTV_4">Предложение!$257:$259</definedName>
    <definedName name="OFFER_TARIFF_B_VOTV_5">Предложение!$315:$317</definedName>
    <definedName name="OFFER_TARIFF_C_1">Предложение!$30:$32</definedName>
    <definedName name="OFFER_TARIFF_C_2">Предложение!$90:$92</definedName>
    <definedName name="OFFER_TARIFF_C_3">Предложение!$151:$153</definedName>
    <definedName name="OFFER_TARIFF_C_4">Предложение!$212:$214</definedName>
    <definedName name="OFFER_TARIFF_C_5">Предложение!$270:$272</definedName>
    <definedName name="OFFER_TARIFF_C_COLDVSNA_1">Предложение!$54:$56</definedName>
    <definedName name="OFFER_TARIFF_C_COLDVSNA_2">Предложение!$114:$116</definedName>
    <definedName name="OFFER_TARIFF_C_COLDVSNA_3">Предложение!$175:$177</definedName>
    <definedName name="OFFER_TARIFF_C_COLDVSNA_4">Предложение!$236:$238</definedName>
    <definedName name="OFFER_TARIFF_C_COLDVSNA_5">Предложение!$294:$296</definedName>
    <definedName name="OFFER_TARIFF_C_HOTVSNA_1">Предложение!$69:$71</definedName>
    <definedName name="OFFER_TARIFF_C_HOTVSNA_2">Предложение!$132:$134</definedName>
    <definedName name="OFFER_TARIFF_C_HOTVSNA_3">Предложение!$193:$195</definedName>
    <definedName name="OFFER_TARIFF_C_HOTVSNA_4">Предложение!$251:$253</definedName>
    <definedName name="OFFER_TARIFF_C_HOTVSNA_5">Предложение!$309:$311</definedName>
    <definedName name="OFFER_TARIFF_C_VOTV_1">Предложение!$78:$80</definedName>
    <definedName name="OFFER_TARIFF_C_VOTV_2">Предложение!$141:$143</definedName>
    <definedName name="OFFER_TARIFF_C_VOTV_3">Предложение!$202:$204</definedName>
    <definedName name="OFFER_TARIFF_C_VOTV_4">Предложение!$260:$262</definedName>
    <definedName name="OFFER_TARIFF_C_VOTV_5">Предложение!$318:$320</definedName>
    <definedName name="OFFER_TARIFF_D_1">Предложение!$33:$35</definedName>
    <definedName name="OFFER_TARIFF_D_2">Предложение!$93:$95</definedName>
    <definedName name="OFFER_TARIFF_D_3">Предложение!$154:$156</definedName>
    <definedName name="OFFER_TARIFF_D_4">Предложение!$215:$217</definedName>
    <definedName name="OFFER_TARIFF_D_5">Предложение!$273:$275</definedName>
    <definedName name="OFFER_TARIFF_D_COLDVSNA_1">Предложение!$57:$59</definedName>
    <definedName name="OFFER_TARIFF_D_COLDVSNA_2">Предложение!$117:$119</definedName>
    <definedName name="OFFER_TARIFF_D_COLDVSNA_3">Предложение!$178:$180</definedName>
    <definedName name="OFFER_TARIFF_D_COLDVSNA_4">Предложение!$239:$241</definedName>
    <definedName name="OFFER_TARIFF_D_COLDVSNA_5">Предложение!$297:$299</definedName>
    <definedName name="OFFER_TARIFF_E_COLDVSNA_1">Предложение!$60:$62</definedName>
    <definedName name="OFFER_TARIFF_E_COLDVSNA_2">Предложение!$120:$122</definedName>
    <definedName name="OFFER_TARIFF_E_COLDVSNA_3">Предложение!$181:$183</definedName>
    <definedName name="OFFER_TARIFF_E_COLDVSNA_4">Предложение!$242:$244</definedName>
    <definedName name="OFFER_TARIFF_E_COLDVSNA_5">Предложение!$300:$302</definedName>
    <definedName name="OFFER_TARIFF_E1_1">Предложение!$36:$38</definedName>
    <definedName name="OFFER_TARIFF_E1_2">Предложение!$96:$98</definedName>
    <definedName name="OFFER_TARIFF_E1_3">Предложение!$157:$159</definedName>
    <definedName name="OFFER_TARIFF_E1_4">Предложение!$218:$220</definedName>
    <definedName name="OFFER_TARIFF_E1_5">Предложение!$276:$278</definedName>
    <definedName name="OFFER_TARIFF_E2_1">Предложение!$39:$41</definedName>
    <definedName name="OFFER_TARIFF_E2_2">Предложение!$99:$101</definedName>
    <definedName name="OFFER_TARIFF_E2_3">Предложение!$160:$162</definedName>
    <definedName name="OFFER_TARIFF_E2_4">Предложение!$221:$223</definedName>
    <definedName name="OFFER_TARIFF_E2_5">Предложение!$279:$281</definedName>
    <definedName name="OFFER_TARIFF_F_1">Предложение!$42:$44</definedName>
    <definedName name="OFFER_TARIFF_F_2">Предложение!$102:$104</definedName>
    <definedName name="OFFER_TARIFF_F_3">Предложение!$163:$165</definedName>
    <definedName name="OFFER_TARIFF_F_4">Предложение!$224:$226</definedName>
    <definedName name="OFFER_TARIFF_F_5">Предложение!$282:$284</definedName>
    <definedName name="OFFER_TARIFF_G_1">Предложение!$45:$47</definedName>
    <definedName name="OFFER_TARIFF_G_2">Предложение!$105:$107</definedName>
    <definedName name="OFFER_TARIFF_G_3">Предложение!$166:$168</definedName>
    <definedName name="OFFER_TARIFF_G_4">Предложение!$227:$229</definedName>
    <definedName name="OFFER_TARIFF_G_5">Предложение!$285:$287</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территорий'!$C$12:$C$54</definedName>
    <definedName name="pDel_LT_MO">'Список территорий'!$D$11:$D$54</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территорий'!$G$54</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Предложение!$G$171</definedName>
    <definedName name="pIns_PT_VTAR_A_COLDVSNA_OFFER_4">Предложение!$G$232</definedName>
    <definedName name="pIns_PT_VTAR_A_COLDVSNA_OFFER_5">Предложение!$G$290</definedName>
    <definedName name="pIns_PT_VTAR_A_COLDVSNA_OFFER5">Предложение!$G$290</definedName>
    <definedName name="pIns_PT_VTAR_A_HOTVSNA">'ГВС. Т-гор.вода'!$T$184</definedName>
    <definedName name="pIns_PT_VTAR_A_HOTVSNA_OFFER_1">Предложение!$G$65</definedName>
    <definedName name="pIns_PT_VTAR_A_HOTVSNA_OFFER_2">Предложение!$G$128</definedName>
    <definedName name="pIns_PT_VTAR_A_HOTVSNA_OFFER_3">Предложение!$G$189</definedName>
    <definedName name="pIns_PT_VTAR_A_HOTVSNA_OFFER_4">Предложение!$G$247</definedName>
    <definedName name="pIns_PT_VTAR_A_HOTVSNA_OFFER_5">Предложение!$G$305</definedName>
    <definedName name="pIns_PT_VTAR_A_OFFER_1">Предложение!$G$26</definedName>
    <definedName name="pIns_PT_VTAR_A_OFFER_2">Предложение!$G$86</definedName>
    <definedName name="pIns_PT_VTAR_A_OFFER_3">Предложение!$G$147</definedName>
    <definedName name="pIns_PT_VTAR_A_OFFER_4">Предложение!$G$208</definedName>
    <definedName name="pIns_PT_VTAR_A_OFFER_5">Предложение!$G$266</definedName>
    <definedName name="pIns_PT_VTAR_A_VOTV">'ВО. Т-во'!$T$53</definedName>
    <definedName name="pIns_PT_VTAR_A_VOTV_OFFER_1">Предложение!$G$74</definedName>
    <definedName name="pIns_PT_VTAR_A_VOTV_OFFER_2">Предложение!$G$137</definedName>
    <definedName name="pIns_PT_VTAR_A_VOTV_OFFER_3">Предложение!$G$198</definedName>
    <definedName name="pIns_PT_VTAR_A_VOTV_OFFER_4">Предложение!$G$256</definedName>
    <definedName name="pIns_PT_VTAR_A_VOTV_OFFER_5">Предложение!$G$314</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Предложение!$G$174</definedName>
    <definedName name="pIns_PT_VTAR_B_COLDVSNA_OFFER_4">Предложение!$G$235</definedName>
    <definedName name="pIns_PT_VTAR_B_COLDVSNA_OFFER_5">Предложение!$G$293</definedName>
    <definedName name="pIns_PT_VTAR_B_HOTVSNA">'ГВС. Т-транс'!$T$54</definedName>
    <definedName name="pIns_PT_VTAR_B_HOTVSNA_OFFER_1">Предложение!$G$68</definedName>
    <definedName name="pIns_PT_VTAR_B_HOTVSNA_OFFER_2">Предложение!$G$131</definedName>
    <definedName name="pIns_PT_VTAR_B_HOTVSNA_OFFER_3">Предложение!$G$192</definedName>
    <definedName name="pIns_PT_VTAR_B_HOTVSNA_OFFER_4">Предложение!$G$250</definedName>
    <definedName name="pIns_PT_VTAR_B_HOTVSNA_OFFER_5">Предложение!$G$308</definedName>
    <definedName name="pIns_PT_VTAR_B_OFFER_1">Предложение!$G$29</definedName>
    <definedName name="pIns_PT_VTAR_B_OFFER_2">Предложение!$G$89</definedName>
    <definedName name="pIns_PT_VTAR_B_OFFER_3">Предложение!$G$150</definedName>
    <definedName name="pIns_PT_VTAR_B_OFFER_4">Предложение!$G$211</definedName>
    <definedName name="pIns_PT_VTAR_B_OFFER_5">Предложение!$G$269</definedName>
    <definedName name="pIns_PT_VTAR_B_VOTV">'ВО. Т-транс'!$T$53</definedName>
    <definedName name="pIns_PT_VTAR_B_VOTV_OFFER_1">Предложение!$G$77</definedName>
    <definedName name="pIns_PT_VTAR_B_VOTV_OFFER_2">Предложение!$G$140</definedName>
    <definedName name="pIns_PT_VTAR_B_VOTV_OFFER_3">Предложение!$G$201</definedName>
    <definedName name="pIns_PT_VTAR_B_VOTV_OFFER_4">Предложение!$G$259</definedName>
    <definedName name="pIns_PT_VTAR_B_VOTV_OFFER_5">Предложение!$G$317</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Предложение!$G$177</definedName>
    <definedName name="pIns_PT_VTAR_C_COLDVSNA_OFFER_4">Предложение!$G$238</definedName>
    <definedName name="pIns_PT_VTAR_C_COLDVSNA_OFFER_5">Предложение!$G$296</definedName>
    <definedName name="pIns_PT_VTAR_C_HOTVSNA">'ГВС. Т-подкл'!$T$63</definedName>
    <definedName name="pIns_PT_VTAR_C_HOTVSNA_OFFER_1">Предложение!$G$71</definedName>
    <definedName name="pIns_PT_VTAR_C_HOTVSNA_OFFER_2">Предложение!$G$134</definedName>
    <definedName name="pIns_PT_VTAR_C_HOTVSNA_OFFER_3">Предложение!$G$195</definedName>
    <definedName name="pIns_PT_VTAR_C_HOTVSNA_OFFER_4">Предложение!$G$253</definedName>
    <definedName name="pIns_PT_VTAR_C_HOTVSNA_OFFER_5">Предложение!$G$311</definedName>
    <definedName name="pIns_PT_VTAR_C_OFFER_1">Предложение!$G$32</definedName>
    <definedName name="pIns_PT_VTAR_C_OFFER_2">Предложение!$G$92</definedName>
    <definedName name="pIns_PT_VTAR_C_OFFER_3">Предложение!$G$153</definedName>
    <definedName name="pIns_PT_VTAR_C_OFFER_4">Предложение!$G$214</definedName>
    <definedName name="pIns_PT_VTAR_C_OFFER_5">Предложение!$G$272</definedName>
    <definedName name="pIns_PT_VTAR_C_VOTV">'ВО. Т-подкл'!$T$63</definedName>
    <definedName name="pIns_PT_VTAR_C_VOTV_OFFER_1">Предложение!$G$80</definedName>
    <definedName name="pIns_PT_VTAR_C_VOTV_OFFER_2">Предложение!$G$143</definedName>
    <definedName name="pIns_PT_VTAR_C_VOTV_OFFER_3">Предложение!$G$204</definedName>
    <definedName name="pIns_PT_VTAR_C_VOTV_OFFER_4">Предложение!$G$262</definedName>
    <definedName name="pIns_PT_VTAR_C_VOTV_OFFER_5">Предложение!$G$320</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Предложение!$G$180</definedName>
    <definedName name="pIns_PT_VTAR_D_COLDVSNA_OFFER_4">Предложение!$G$241</definedName>
    <definedName name="pIns_PT_VTAR_D_COLDVSNA_OFFER_5">Предложение!$G$299</definedName>
    <definedName name="pIns_PT_VTAR_D_OFFER_1">Предложение!$G$35</definedName>
    <definedName name="pIns_PT_VTAR_D_OFFER_2">Предложение!$G$95</definedName>
    <definedName name="pIns_PT_VTAR_D_OFFER_3">Предложение!$G$156</definedName>
    <definedName name="pIns_PT_VTAR_D_OFFER_4">Предложение!$G$217</definedName>
    <definedName name="pIns_PT_VTAR_D_OFFER_5">Предложение!$G$275</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Предложение!$G$183</definedName>
    <definedName name="pIns_PT_VTAR_E_COLDVSNA_OFFER_4">Предложение!$G$244</definedName>
    <definedName name="pIns_PT_VTAR_E_COLDVSNA_OFFER_5">Предложение!$G$302</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Предложение!$G$159</definedName>
    <definedName name="pIns_PT_VTAR_E1_OFFER_4">Предложение!$G$220</definedName>
    <definedName name="pIns_PT_VTAR_E1_OFFER_5">Предложение!$G$278</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Предложение!$G$162</definedName>
    <definedName name="pIns_PT_VTAR_E2_OFFER_4">Предложение!$G$223</definedName>
    <definedName name="pIns_PT_VTAR_E2_OFFER_5">Предложение!$G$281</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Предложение!$G$165</definedName>
    <definedName name="pIns_PT_VTAR_F_OFFER_4">Предложение!$G$226</definedName>
    <definedName name="pIns_PT_VTAR_F_OFFER_5">Предложение!$G$284</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Предложение!$G$168</definedName>
    <definedName name="pIns_PT_VTAR_G_OFFER_4">Предложение!$G$229</definedName>
    <definedName name="pIns_PT_VTAR_G_OFFER_5">Предложение!$G$287</definedName>
    <definedName name="pIns_PT_VTAR_H">'ТС. Т-подкл(инд)'!$T$59</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Т-подкл(инд)'!$AJ$40</definedName>
    <definedName name="pIns_ver_HEAT_TARIFF_I">'ТС. Т-ТЭ | предел'!$AL$39</definedName>
    <definedName name="pIns_ver_HEAT_TARIFF_I_1">'ТС. Т-ТЭ | индикат'!$AL$39</definedName>
    <definedName name="pIns_ver_HOTVSNA_TARIFF_A_HOTVSNA">'ГВС. Т-гор.вода'!$DQ$37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тарифов'!$AL$12:$AL$171</definedName>
    <definedName name="PT_DIFFERENTIATION_CS_ID">'Перечень тарифов'!$AF$12:$AF$171</definedName>
    <definedName name="PT_DIFFERENTIATION_IST_TE">'Перечень тарифов'!$AM$12:$AM$171</definedName>
    <definedName name="PT_DIFFERENTIATION_IST_TE_ID">'Перечень тарифов'!$AG$12:$AG$171</definedName>
    <definedName name="PT_DIFFERENTIATION_NTAR">'Перечень тарифов'!$AJ$12:$AJ$171</definedName>
    <definedName name="PT_DIFFERENTIATION_NTAR_ID">'Перечень тарифов'!$AD$12:$AD$171</definedName>
    <definedName name="PT_DIFFERENTIATION_NUM_CS">'Перечень тарифов'!$AP$12:$AP$171</definedName>
    <definedName name="PT_DIFFERENTIATION_NUM_IST_TE">'Перечень тарифов'!$AQ$12:$AQ$171</definedName>
    <definedName name="PT_DIFFERENTIATION_NUM_NTAR">'Перечень тарифов'!$AN$12:$AN$171</definedName>
    <definedName name="PT_DIFFERENTIATION_NUM_TER">'Перечень тарифов'!$AO$12:$AO$171</definedName>
    <definedName name="PT_DIFFERENTIATION_TER">'Перечень тарифов'!$AK$12:$AK$171</definedName>
    <definedName name="PT_DIFFERENTIATION_TER_ID">'Перечень тарифов'!$AE$12:$AE$171</definedName>
    <definedName name="PT_DIFFERENTIATION_VDET">'Перечень тарифов'!$AI$12:$AI$171</definedName>
    <definedName name="PT_DIFFERENTIATION_VTAR">'Перечень тарифов'!$AH$12:$AH$171</definedName>
    <definedName name="PT_DIFFERENTIATION_VTAR_ID">'Перечень тарифов'!$AC$12:$AC$171</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Т-гор.вода'!$42:$183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территорий'!$E$11:$I$54</definedName>
    <definedName name="TERRITORY_ID">TEHSHEET!$E$56</definedName>
    <definedName name="TERRITORY_LIST_ID">'Список территорий'!$F$11:$F$54</definedName>
    <definedName name="TERRITORY_MO_LIST">'Список территорий'!$H$11:$H$54</definedName>
    <definedName name="TERRITORY_MR_LIST">'Список территорий'!$G$11:$G$54</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ter_55">'Список территорий'!$G$16:$I$16</definedName>
    <definedName name="ter_56">'Список территорий'!$G$19:$I$19</definedName>
    <definedName name="ter_57">'Список территорий'!$G$22:$I$22</definedName>
    <definedName name="ter_58">'Список территорий'!$G$25:$I$25</definedName>
    <definedName name="ter_59">'Список территорий'!$G$28:$I$28</definedName>
    <definedName name="ter_60">'Список территорий'!$G$31:$I$31</definedName>
    <definedName name="ter_61">'Список территорий'!$G$34:$I$34</definedName>
    <definedName name="ter_62">'Список территорий'!$G$37:$I$37</definedName>
    <definedName name="ter_63">'Список территорий'!$G$40:$I$40</definedName>
    <definedName name="ter_64">'Список территорий'!$G$43:$I$43</definedName>
    <definedName name="ter_65">'Список территорий'!$G$46:$I$46</definedName>
    <definedName name="ter_66">'Список территорий'!$G$49:$I$49</definedName>
    <definedName name="ter_67">'Список территорий'!$G$52:$I$52</definedName>
    <definedName name="pt_ter_30">'ГВС. Т-гор.вода'!$53:$62</definedName>
    <definedName name="pt_cs_30">'ГВС. Т-гор.вода'!$54:$61</definedName>
    <definedName name="pt_ter_31">'ГВС. Т-гор.вода'!$63:$72</definedName>
    <definedName name="pt_cs_31">'ГВС. Т-гор.вода'!$64:$71</definedName>
    <definedName name="pt_ter_32">'ГВС. Т-гор.вода'!$73:$82</definedName>
    <definedName name="pt_cs_32">'ГВС. Т-гор.вода'!$74:$81</definedName>
    <definedName name="pt_ter_33">'ГВС. Т-гор.вода'!$83:$92</definedName>
    <definedName name="pt_cs_33">'ГВС. Т-гор.вода'!$84:$91</definedName>
    <definedName name="pt_ter_34">'ГВС. Т-гор.вода'!$93:$102</definedName>
    <definedName name="pt_cs_34">'ГВС. Т-гор.вода'!$94:$101</definedName>
    <definedName name="pt_ter_35">'ГВС. Т-гор.вода'!$103:$112</definedName>
    <definedName name="pt_cs_35">'ГВС. Т-гор.вода'!$104:$111</definedName>
    <definedName name="pt_ter_36">'ГВС. Т-гор.вода'!$113:$122</definedName>
    <definedName name="pt_cs_36">'ГВС. Т-гор.вода'!$114:$121</definedName>
    <definedName name="pt_ter_37">'ГВС. Т-гор.вода'!$123:$132</definedName>
    <definedName name="pt_cs_37">'ГВС. Т-гор.вода'!$124:$131</definedName>
    <definedName name="pt_ter_38">'ГВС. Т-гор.вода'!$133:$142</definedName>
    <definedName name="pt_cs_38">'ГВС. Т-гор.вода'!$134:$141</definedName>
    <definedName name="pt_ter_39">'ГВС. Т-гор.вода'!$143:$152</definedName>
    <definedName name="pt_cs_39">'ГВС. Т-гор.вода'!$144:$151</definedName>
    <definedName name="pt_ter_40">'ГВС. Т-гор.вода'!$153:$162</definedName>
    <definedName name="pt_cs_40">'ГВС. Т-гор.вода'!$154:$161</definedName>
    <definedName name="pt_ter_41">'ГВС. Т-гор.вода'!$163:$172</definedName>
    <definedName name="pt_cs_41">'ГВС. Т-гор.вода'!$164:$171</definedName>
    <definedName name="pt_ter_42">'ГВС. Т-гор.вода'!$173:$182</definedName>
    <definedName name="pt_cs_42">'ГВС. Т-гор.вода'!$174:$181</definedName>
    <definedName name="DESCRIPTION_TERRITORY">REESTR_DS!$B$2:$B$15</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<sst xmlns="http://schemas.openxmlformats.org/spreadsheetml/2006/main" count="17004" uniqueCount="4079">
  <si>
    <t xml:space="preserve"> (требуется обновление)</t>
  </si>
  <si>
    <t>Код отчёта: PP108.OPEN.INFO.REQUEST.HOTVSNA.EIAS</t>
  </si>
  <si>
    <t>Версия отчёта: 1.0.7</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</si>
  <si>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</si>
  <si>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</si>
  <si>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</si>
  <si>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</si>
  <si>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</si>
  <si>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</si>
  <si>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</si>
  <si>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</si>
  <si>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</si>
  <si>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</si>
  <si>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</si>
  <si>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</si>
  <si>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</si>
  <si>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</si>
  <si>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</si>
  <si>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</si>
  <si>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</si>
  <si>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</si>
  <si>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</si>
  <si>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</si>
  <si>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</si>
  <si>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</si>
  <si>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</si>
  <si>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</si>
  <si>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</si>
  <si>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</si>
  <si>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</si>
  <si>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</si>
  <si>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</si>
  <si>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</si>
  <si>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</si>
  <si>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</si>
  <si>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</si>
  <si>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</si>
  <si>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27-2258</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</si>
  <si>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</si>
  <si>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</si>
  <si>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</si>
  <si>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27-2067</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</si>
  <si>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</si>
  <si>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</si>
  <si>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</si>
  <si>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</si>
  <si>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</si>
  <si>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</si>
  <si>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</si>
  <si>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</si>
  <si>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</si>
  <si>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</si>
  <si>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</si>
  <si>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</si>
  <si>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</si>
  <si>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</si>
  <si>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</si>
  <si>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</si>
  <si>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</si>
  <si>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</si>
  <si>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</si>
  <si>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</si>
  <si>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</si>
  <si>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</si>
  <si>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</si>
  <si>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</si>
  <si>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</si>
  <si>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</si>
  <si>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</si>
  <si>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</si>
  <si>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</si>
  <si>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</si>
  <si>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</si>
  <si>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</si>
  <si>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</si>
  <si>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</si>
  <si>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</si>
  <si>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</si>
  <si>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</si>
  <si>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</si>
  <si>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</si>
  <si>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</si>
  <si>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</si>
  <si>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</si>
  <si>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</si>
  <si>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</si>
  <si>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</si>
  <si>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</si>
  <si>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</si>
  <si>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</si>
  <si>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</si>
  <si>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</si>
  <si>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</si>
  <si>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</si>
  <si>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</si>
  <si>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78</t>
  </si>
  <si>
    <t>Хасанский муниципальный округ</t>
  </si>
  <si>
    <t>05548000</t>
  </si>
  <si>
    <t>Добавить МО</t>
  </si>
  <si>
    <t>2</t>
  </si>
  <si>
    <t>×</t>
  </si>
  <si>
    <t>ter_55</t>
  </si>
  <si>
    <t>93</t>
  </si>
  <si>
    <t>Шкотовский муниципальный район</t>
  </si>
  <si>
    <t>Смоляниновское городское поселение</t>
  </si>
  <si>
    <t>05657158</t>
  </si>
  <si>
    <t>ter_56</t>
  </si>
  <si>
    <t>Владивостокский городской округ</t>
  </si>
  <si>
    <t>05701000</t>
  </si>
  <si>
    <t>ter_57</t>
  </si>
  <si>
    <t>88</t>
  </si>
  <si>
    <t>Чугуевский муниципальный округ</t>
  </si>
  <si>
    <t>05555000</t>
  </si>
  <si>
    <t>5</t>
  </si>
  <si>
    <t>ter_58</t>
  </si>
  <si>
    <t>20</t>
  </si>
  <si>
    <t>Кировский муниципальный район</t>
  </si>
  <si>
    <t>Кировское городское поселение</t>
  </si>
  <si>
    <t>05612151</t>
  </si>
  <si>
    <t>ter_59</t>
  </si>
  <si>
    <t>Дальнереченский городской округ</t>
  </si>
  <si>
    <t>05708000</t>
  </si>
  <si>
    <t>ter_60</t>
  </si>
  <si>
    <t>38</t>
  </si>
  <si>
    <t>Лесозаводский городской округ</t>
  </si>
  <si>
    <t>05711000</t>
  </si>
  <si>
    <t>8</t>
  </si>
  <si>
    <t>ter_61</t>
  </si>
  <si>
    <t>65</t>
  </si>
  <si>
    <t>Пожарский муниципальный округ</t>
  </si>
  <si>
    <t>05534000</t>
  </si>
  <si>
    <t>9</t>
  </si>
  <si>
    <t>ter_62</t>
  </si>
  <si>
    <t>51</t>
  </si>
  <si>
    <t>Находкинский городской округ</t>
  </si>
  <si>
    <t>05714000</t>
  </si>
  <si>
    <t>10</t>
  </si>
  <si>
    <t>ter_63</t>
  </si>
  <si>
    <t>37</t>
  </si>
  <si>
    <t>Лазовский муниципальный округ</t>
  </si>
  <si>
    <t>05517000</t>
  </si>
  <si>
    <t>11</t>
  </si>
  <si>
    <t>ter_64</t>
  </si>
  <si>
    <t>57</t>
  </si>
  <si>
    <t>Партизанский муниципальный район</t>
  </si>
  <si>
    <t>Екатериновское сельское поселение</t>
  </si>
  <si>
    <t>05630404</t>
  </si>
  <si>
    <t>12</t>
  </si>
  <si>
    <t>ter_65</t>
  </si>
  <si>
    <t>Городской округ Спасск-Дальний</t>
  </si>
  <si>
    <t>05720000</t>
  </si>
  <si>
    <t>13</t>
  </si>
  <si>
    <t>ter_66</t>
  </si>
  <si>
    <t>80</t>
  </si>
  <si>
    <t>Черниговский муниципальный округ</t>
  </si>
  <si>
    <t>05553000</t>
  </si>
  <si>
    <t>14</t>
  </si>
  <si>
    <t>ter_67</t>
  </si>
  <si>
    <t>84</t>
  </si>
  <si>
    <t>Черниговский муниципальный район</t>
  </si>
  <si>
    <t>Сибирцевское городское поселение</t>
  </si>
  <si>
    <t>05653158</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</si>
  <si>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</si>
  <si>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</si>
  <si>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</si>
  <si>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</si>
  <si>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</si>
  <si>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</si>
  <si>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</si>
  <si>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</si>
  <si>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</si>
  <si>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</si>
  <si>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</si>
  <si>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</si>
  <si>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</si>
  <si>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</si>
  <si>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</si>
  <si>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</si>
  <si>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</si>
  <si>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</si>
  <si>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</si>
  <si>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</si>
  <si>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</si>
  <si>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</si>
  <si>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</si>
  <si>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</si>
  <si>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</si>
  <si>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</si>
  <si>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</si>
  <si>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</si>
  <si>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</si>
  <si>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</si>
  <si>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</si>
  <si>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</si>
  <si>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</si>
  <si>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</si>
  <si>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</si>
  <si>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</si>
  <si>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</si>
  <si>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</si>
  <si>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</si>
  <si>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</si>
  <si>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</si>
  <si>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</si>
  <si>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</si>
  <si>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</si>
  <si>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</si>
  <si>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</si>
  <si>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</si>
  <si>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</si>
  <si>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</si>
  <si>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</si>
  <si>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</si>
  <si>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</si>
  <si>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</si>
  <si>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</si>
  <si>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</si>
  <si>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</si>
  <si>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</si>
  <si>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</si>
  <si>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</si>
  <si>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</si>
  <si>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</si>
  <si>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</si>
  <si>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</si>
  <si>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</si>
  <si>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</si>
  <si>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</si>
  <si>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</si>
  <si>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</si>
  <si>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</si>
  <si>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</si>
  <si>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</si>
  <si>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</si>
  <si>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</si>
  <si>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</si>
  <si>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</si>
  <si>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</si>
  <si>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</si>
  <si>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</si>
  <si>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</si>
  <si>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</si>
  <si>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</si>
  <si>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</si>
  <si>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</si>
  <si>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</si>
  <si>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</si>
  <si>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</si>
  <si>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</si>
  <si>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</si>
  <si>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</si>
  <si>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</si>
  <si>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</si>
  <si>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</si>
  <si>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</si>
  <si>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</si>
  <si>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</si>
  <si>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</si>
  <si>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</si>
  <si>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</si>
  <si>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</si>
  <si>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</si>
  <si>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</si>
  <si>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</si>
  <si>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</si>
  <si>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</si>
  <si>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</si>
  <si>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</si>
  <si>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</si>
  <si>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</si>
  <si>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</si>
  <si>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</si>
  <si>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</si>
  <si>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</si>
  <si>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</si>
  <si>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</si>
  <si>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</si>
  <si>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</si>
  <si>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</si>
  <si>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</si>
  <si>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</si>
  <si>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</si>
  <si>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</si>
  <si>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</si>
  <si>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</si>
  <si>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</si>
  <si>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</si>
  <si>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</si>
  <si>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</si>
  <si>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</si>
  <si>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</si>
  <si>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</si>
  <si>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</si>
  <si>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</si>
  <si>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</si>
  <si>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</si>
  <si>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</si>
  <si>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</si>
  <si>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Горячее водоснажение (закрытая система)</t>
  </si>
  <si>
    <t>пгт. Краскино</t>
  </si>
  <si>
    <t>4189706</t>
  </si>
  <si>
    <t>pIns_PT_VTAR_A_HOTVSNA</t>
  </si>
  <si>
    <t>pt_ntar_14</t>
  </si>
  <si>
    <t>pt_ter_14</t>
  </si>
  <si>
    <t>pt_cs_14</t>
  </si>
  <si>
    <t>Добавить централизованную систему для дифференциации</t>
  </si>
  <si>
    <t>пгт. Смоляниново</t>
  </si>
  <si>
    <t>pt_ter_30</t>
  </si>
  <si>
    <t>pt_cs_30</t>
  </si>
  <si>
    <t>pt_ist_te_30</t>
  </si>
  <si>
    <t>Владивостокский ГО</t>
  </si>
  <si>
    <t>pt_ter_31</t>
  </si>
  <si>
    <t>pt_cs_31</t>
  </si>
  <si>
    <t>pt_ist_te_31</t>
  </si>
  <si>
    <t>с. Чугуевка</t>
  </si>
  <si>
    <t>pt_ter_32</t>
  </si>
  <si>
    <t>pt_cs_32</t>
  </si>
  <si>
    <t>pt_ist_te_32</t>
  </si>
  <si>
    <t>Кировское ГП</t>
  </si>
  <si>
    <t>pt_ter_33</t>
  </si>
  <si>
    <t>pt_cs_33</t>
  </si>
  <si>
    <t>pt_ist_te_33</t>
  </si>
  <si>
    <t>г. Дальнереченск</t>
  </si>
  <si>
    <t>pt_ter_34</t>
  </si>
  <si>
    <t>pt_cs_34</t>
  </si>
  <si>
    <t>pt_ist_te_34</t>
  </si>
  <si>
    <t>г. Лесозаводск</t>
  </si>
  <si>
    <t>pt_ter_35</t>
  </si>
  <si>
    <t>pt_cs_35</t>
  </si>
  <si>
    <t>pt_ist_te_35</t>
  </si>
  <si>
    <t>с. Светлогорье</t>
  </si>
  <si>
    <t>pt_ter_36</t>
  </si>
  <si>
    <t>pt_cs_36</t>
  </si>
  <si>
    <t>pt_ist_te_36</t>
  </si>
  <si>
    <t>г. Находка</t>
  </si>
  <si>
    <t>pt_ter_37</t>
  </si>
  <si>
    <t>pt_cs_37</t>
  </si>
  <si>
    <t>pt_ist_te_37</t>
  </si>
  <si>
    <t>пгт. Преображение</t>
  </si>
  <si>
    <t>pt_ter_38</t>
  </si>
  <si>
    <t>pt_cs_38</t>
  </si>
  <si>
    <t>pt_ist_te_38</t>
  </si>
  <si>
    <t>с. Екатериновка Партизанского МО</t>
  </si>
  <si>
    <t>pt_ter_39</t>
  </si>
  <si>
    <t>pt_cs_39</t>
  </si>
  <si>
    <t>pt_ist_te_39</t>
  </si>
  <si>
    <t>г. Спасск-Дальний</t>
  </si>
  <si>
    <t>pt_ter_40</t>
  </si>
  <si>
    <t>pt_cs_40</t>
  </si>
  <si>
    <t>pt_ist_te_40</t>
  </si>
  <si>
    <t>с. Майское</t>
  </si>
  <si>
    <t>pt_ter_41</t>
  </si>
  <si>
    <t>pt_cs_41</t>
  </si>
  <si>
    <t>pt_ist_te_41</t>
  </si>
  <si>
    <t>пгт. Сибирцево</t>
  </si>
  <si>
    <t>pt_ter_42</t>
  </si>
  <si>
    <t>pt_cs_42</t>
  </si>
  <si>
    <t>pt_ist_te_42</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</si>
  <si>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</si>
  <si>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</si>
  <si>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</si>
  <si>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</si>
  <si>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</si>
  <si>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</si>
  <si>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</si>
  <si>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</si>
  <si>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</si>
  <si>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</si>
  <si>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</si>
  <si>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</si>
  <si>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</si>
  <si>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</si>
  <si>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</si>
  <si>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</si>
  <si>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</si>
  <si>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</si>
  <si>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</si>
  <si>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</si>
  <si>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</si>
  <si>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</si>
  <si>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</si>
  <si>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</si>
  <si>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</si>
  <si>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</si>
  <si>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</si>
  <si>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</si>
  <si>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</si>
  <si>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</si>
  <si>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</si>
  <si>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</si>
  <si>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</si>
  <si>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</si>
  <si>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</si>
  <si>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</si>
  <si>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</si>
  <si>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</si>
  <si>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</si>
  <si>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</si>
  <si>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</si>
  <si>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</si>
  <si>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</si>
  <si>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</si>
  <si>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</si>
  <si>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</si>
  <si>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</si>
  <si>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</si>
  <si>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</si>
  <si>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</si>
  <si>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</si>
  <si>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</si>
  <si>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</si>
  <si>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</si>
  <si>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</si>
  <si>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</si>
  <si>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</si>
  <si>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</si>
  <si>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</si>
  <si>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</si>
  <si>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</si>
  <si>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</si>
  <si>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</si>
  <si>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</si>
  <si>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</si>
  <si>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</si>
  <si>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</si>
  <si>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</si>
  <si>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</si>
  <si>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</si>
  <si>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</si>
  <si>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</si>
  <si>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</si>
  <si>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</si>
  <si>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</si>
  <si>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</si>
  <si>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</si>
  <si>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</si>
  <si>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</si>
  <si>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</si>
  <si>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</si>
  <si>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</si>
  <si>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</si>
  <si>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</si>
  <si>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</si>
  <si>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</si>
  <si>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</si>
  <si>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</si>
  <si>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</si>
  <si>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</si>
  <si>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</si>
  <si>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</si>
  <si>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</si>
  <si>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</si>
  <si>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</si>
  <si>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</si>
  <si>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</si>
  <si>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</si>
  <si>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</si>
  <si>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</si>
  <si>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</si>
  <si>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</si>
  <si>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</si>
  <si>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</si>
  <si>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</si>
  <si>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</si>
  <si>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</si>
  <si>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</si>
  <si>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</si>
  <si>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</si>
  <si>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</si>
  <si>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</si>
  <si>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</si>
  <si>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</si>
  <si>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</si>
  <si>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</si>
  <si>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</si>
  <si>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</si>
  <si>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</si>
  <si>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</si>
  <si>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</si>
  <si>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</si>
  <si>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</si>
  <si>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</si>
  <si>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</si>
  <si>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</si>
  <si>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</si>
  <si>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</si>
  <si>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</si>
  <si>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</si>
  <si>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</si>
  <si>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</si>
  <si>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</si>
  <si>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</si>
  <si>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</si>
  <si>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</si>
  <si>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</si>
  <si>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</si>
  <si>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</si>
  <si>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</si>
  <si>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</si>
  <si>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</si>
  <si>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</si>
  <si>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</si>
  <si>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</si>
  <si>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</si>
  <si>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</si>
  <si>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</si>
  <si>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</si>
  <si>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</si>
  <si>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</si>
  <si>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</si>
  <si>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</si>
  <si>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</si>
  <si>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</si>
  <si>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</si>
  <si>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</si>
  <si>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</si>
  <si>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</si>
  <si>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</si>
  <si>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</si>
  <si>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</si>
  <si>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</si>
  <si>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</si>
  <si>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</si>
  <si>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</si>
  <si>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</si>
  <si>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</si>
  <si>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</si>
  <si>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</si>
  <si>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</si>
  <si>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</si>
  <si>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</si>
  <si>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</si>
  <si>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</si>
  <si>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</si>
  <si>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</si>
  <si>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</si>
  <si>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</si>
  <si>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</si>
  <si>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</si>
  <si>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</si>
  <si>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</si>
  <si>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</si>
  <si>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</si>
  <si>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</si>
  <si>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</si>
  <si>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</si>
  <si>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</si>
  <si>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</si>
  <si>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</si>
  <si>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</si>
  <si>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</si>
  <si>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</si>
  <si>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</si>
  <si>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</si>
  <si>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</si>
  <si>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</si>
  <si>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</si>
  <si>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</si>
  <si>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</si>
  <si>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</si>
  <si>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</si>
  <si>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</si>
  <si>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</si>
  <si>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</si>
  <si>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</si>
  <si>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</si>
  <si>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</si>
  <si>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</si>
  <si>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</si>
  <si>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</si>
  <si>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</si>
  <si>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</si>
  <si>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</si>
  <si>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</si>
  <si>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</si>
  <si>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</si>
  <si>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</si>
  <si>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</si>
  <si>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</si>
  <si>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</si>
  <si>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</si>
  <si>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</si>
  <si>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</si>
  <si>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</si>
  <si>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</si>
  <si>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</si>
  <si>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</si>
  <si>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</si>
  <si>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</si>
  <si>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</si>
  <si>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</si>
  <si>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</si>
  <si>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</si>
  <si>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</si>
  <si>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</si>
  <si>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</si>
  <si>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</si>
  <si>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</si>
  <si>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</si>
  <si>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</si>
  <si>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</si>
  <si>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</si>
  <si>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</si>
  <si>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</si>
  <si>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</si>
  <si>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</si>
  <si>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</si>
  <si>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</si>
  <si>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</si>
  <si>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</si>
  <si>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</si>
  <si>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</si>
  <si>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</si>
  <si>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</si>
  <si>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</si>
  <si>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</si>
  <si>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</si>
  <si>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</si>
  <si>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</si>
  <si>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</si>
  <si>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</si>
  <si>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</si>
  <si>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</si>
  <si>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</si>
  <si>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</si>
  <si>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</si>
  <si>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</si>
  <si>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</si>
  <si>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</si>
  <si>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</si>
  <si>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</si>
  <si>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</si>
  <si>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</si>
  <si>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</si>
  <si>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</si>
  <si>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</si>
  <si>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</si>
  <si>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</si>
  <si>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</si>
  <si>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</si>
  <si>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</si>
  <si>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</si>
  <si>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</si>
  <si>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</si>
  <si>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</si>
  <si>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</si>
  <si>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</si>
  <si>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без дифференциации</t>
  </si>
  <si>
    <t>Без НДС</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</si>
  <si>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</si>
  <si>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</si>
  <si>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</si>
  <si>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</si>
  <si>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</si>
  <si>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</si>
  <si>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</si>
  <si>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</si>
  <si>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</si>
  <si>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</si>
  <si>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</si>
  <si>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</si>
  <si>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</si>
  <si>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</si>
  <si>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</si>
  <si>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</si>
  <si>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</si>
  <si>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</si>
  <si>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</si>
  <si>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</si>
  <si>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</si>
  <si>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</si>
  <si>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</si>
  <si>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</si>
  <si>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</si>
  <si>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</si>
  <si>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</si>
  <si>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</si>
  <si>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</si>
  <si>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</si>
  <si>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</si>
  <si>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</si>
  <si>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</si>
  <si>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</si>
  <si>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</si>
  <si>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</si>
  <si>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</si>
  <si>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</si>
  <si>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</si>
  <si>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</si>
  <si>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</si>
  <si>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</si>
  <si>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</si>
  <si>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</si>
  <si>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</si>
  <si>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</si>
  <si>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</si>
  <si>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</si>
  <si>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</si>
  <si>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</si>
  <si>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</si>
  <si>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</si>
  <si>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</si>
  <si>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</si>
  <si>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</si>
  <si>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</si>
  <si>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</si>
  <si>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</si>
  <si>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</si>
  <si>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</si>
  <si>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</si>
  <si>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</si>
  <si>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</si>
  <si>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</si>
  <si>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</si>
  <si>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</si>
  <si>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</si>
  <si>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</si>
  <si>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</si>
  <si>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</si>
  <si>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</si>
  <si>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</si>
  <si>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</si>
  <si>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</si>
  <si>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</si>
  <si>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</si>
  <si>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</si>
  <si>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</si>
  <si>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</si>
  <si>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</si>
  <si>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</si>
  <si>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</si>
  <si>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</si>
  <si>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</si>
  <si>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</si>
  <si>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</si>
  <si>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</si>
  <si>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</si>
  <si>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</si>
  <si>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</si>
  <si>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</si>
  <si>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</si>
  <si>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</si>
  <si>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</si>
  <si>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</si>
  <si>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</si>
  <si>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</si>
  <si>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</si>
  <si>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</si>
  <si>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</si>
  <si>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</si>
  <si>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</si>
  <si>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</si>
  <si>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</si>
  <si>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</si>
  <si>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</si>
  <si>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</si>
  <si>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</si>
  <si>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</si>
  <si>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</si>
  <si>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</si>
  <si>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</si>
  <si>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</si>
  <si>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</si>
  <si>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</si>
  <si>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</si>
  <si>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</si>
  <si>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</si>
  <si>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</si>
  <si>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</si>
  <si>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</si>
  <si>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</si>
  <si>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</si>
  <si>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</si>
  <si>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</si>
  <si>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</si>
  <si>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</si>
  <si>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</si>
  <si>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</si>
  <si>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</si>
  <si>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</si>
  <si>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</si>
  <si>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</si>
  <si>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</si>
  <si>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</si>
  <si>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</si>
  <si>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</si>
  <si>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</si>
  <si>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</si>
  <si>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</si>
  <si>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</si>
  <si>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</si>
  <si>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</si>
  <si>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</si>
  <si>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</si>
  <si>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</si>
  <si>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</si>
  <si>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</si>
  <si>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</si>
  <si>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</si>
  <si>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</si>
  <si>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</si>
  <si>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</si>
  <si>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</si>
  <si>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</si>
  <si>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</si>
  <si>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</si>
  <si>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</si>
  <si>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</si>
  <si>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</si>
  <si>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</si>
  <si>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</si>
  <si>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</si>
  <si>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</si>
  <si>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</si>
  <si>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</si>
  <si>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</si>
  <si>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</si>
  <si>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</si>
  <si>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</si>
  <si>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</si>
  <si>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</si>
  <si>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</si>
  <si>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</si>
  <si>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</si>
  <si>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</si>
  <si>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</si>
  <si>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</si>
  <si>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</si>
  <si>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</si>
  <si>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</si>
  <si>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</si>
  <si>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</si>
  <si>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</si>
  <si>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</si>
  <si>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</si>
  <si>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</si>
  <si>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</si>
  <si>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</si>
  <si>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</si>
  <si>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</si>
  <si>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</si>
  <si>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</si>
  <si>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</si>
  <si>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</si>
  <si>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</si>
  <si>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</si>
  <si>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</si>
  <si>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</si>
  <si>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</si>
  <si>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</si>
  <si>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</si>
  <si>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</si>
  <si>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</si>
  <si>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</si>
  <si>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</si>
  <si>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</si>
  <si>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</si>
  <si>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</si>
  <si>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</si>
  <si>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</si>
  <si>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</si>
  <si>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</si>
  <si>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</si>
  <si>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</si>
  <si>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</si>
  <si>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</si>
  <si>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</si>
  <si>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</si>
  <si>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</si>
  <si>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</si>
  <si>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</si>
  <si>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</si>
  <si>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</si>
  <si>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</si>
  <si>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</si>
  <si>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</si>
  <si>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</si>
  <si>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</si>
  <si>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</si>
  <si>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</si>
  <si>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</si>
  <si>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</si>
  <si>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</si>
  <si>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</si>
  <si>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</si>
  <si>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</si>
  <si>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</si>
  <si>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</si>
  <si>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</si>
  <si>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</si>
  <si>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</si>
  <si>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</si>
  <si>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</si>
  <si>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</si>
  <si>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</si>
  <si>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</si>
  <si>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</si>
  <si>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</si>
  <si>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</si>
  <si>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</si>
  <si>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</si>
  <si>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</si>
  <si>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</si>
  <si>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</si>
  <si>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</si>
  <si>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</si>
  <si>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</si>
  <si>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</si>
  <si>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</si>
  <si>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</si>
  <si>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</si>
  <si>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</si>
  <si>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</si>
  <si>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</si>
  <si>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</si>
  <si>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</si>
  <si>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</si>
  <si>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</si>
  <si>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</si>
  <si>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</si>
  <si>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</si>
  <si>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</si>
  <si>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</si>
  <si>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</si>
  <si>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</si>
  <si>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</si>
  <si>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</si>
  <si>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</si>
  <si>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</si>
  <si>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</si>
  <si>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</si>
  <si>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</si>
  <si>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</si>
  <si>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</si>
  <si>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</si>
  <si>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</si>
  <si>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</si>
  <si>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</si>
  <si>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</si>
  <si>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</si>
  <si>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</si>
  <si>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</si>
  <si>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</si>
  <si>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</si>
  <si>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</si>
  <si>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</si>
  <si>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</si>
  <si>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</si>
  <si>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</si>
  <si>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</si>
  <si>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</si>
  <si>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</si>
  <si>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</si>
  <si>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</si>
  <si>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</si>
  <si>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</si>
  <si>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</si>
  <si>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</si>
  <si>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</si>
  <si>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</si>
  <si>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</si>
  <si>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</si>
  <si>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</si>
  <si>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</si>
  <si>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</si>
  <si>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</si>
  <si>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</si>
  <si>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</si>
  <si>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</si>
  <si>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</si>
  <si>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</si>
  <si>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</si>
  <si>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</si>
  <si>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</si>
  <si>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</si>
  <si>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</si>
  <si>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</si>
  <si>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</si>
  <si>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</si>
  <si>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</si>
  <si>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</si>
  <si>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</si>
  <si>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</si>
  <si>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</si>
  <si>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</si>
  <si>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</si>
  <si>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</si>
  <si>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</si>
  <si>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</si>
  <si>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</si>
  <si>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</si>
  <si>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</si>
  <si>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</si>
  <si>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</si>
  <si>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</si>
  <si>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</si>
  <si>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</si>
  <si>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</si>
  <si>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</si>
  <si>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</si>
  <si>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</si>
  <si>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</si>
  <si>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</si>
  <si>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</si>
  <si>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</si>
  <si>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</si>
  <si>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</si>
  <si>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</si>
  <si>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</si>
  <si>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</si>
  <si>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</si>
  <si>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</si>
  <si>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</si>
  <si>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</si>
  <si>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</si>
  <si>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</si>
  <si>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</si>
  <si>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</si>
  <si>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</si>
  <si>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</si>
  <si>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</si>
  <si>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</si>
  <si>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</si>
  <si>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</si>
  <si>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</si>
  <si>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</si>
  <si>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</si>
  <si>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</si>
  <si>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</si>
  <si>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</si>
  <si>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</si>
  <si>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</si>
  <si>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</si>
  <si>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</si>
  <si>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</si>
  <si>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</si>
  <si>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</si>
  <si>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</si>
  <si>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</si>
  <si>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</si>
  <si>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</si>
  <si>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</si>
  <si>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</si>
  <si>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</si>
  <si>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</si>
  <si>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</si>
  <si>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</si>
  <si>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</si>
  <si>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</si>
  <si>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</si>
  <si>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</si>
  <si>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</si>
  <si>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</si>
  <si>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</si>
  <si>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</si>
  <si>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</si>
  <si>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</si>
  <si>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</si>
  <si>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</si>
  <si>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</si>
  <si>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</si>
  <si>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</si>
  <si>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</si>
  <si>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</si>
  <si>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</si>
  <si>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</si>
  <si>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</si>
  <si>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</si>
  <si>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</si>
  <si>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</si>
  <si>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</si>
  <si>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</si>
  <si>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</si>
  <si>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</si>
  <si>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</si>
  <si>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</si>
  <si>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</si>
  <si>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</si>
  <si>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</si>
  <si>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</si>
  <si>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</si>
  <si>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</si>
  <si>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</si>
  <si>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</si>
  <si>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</si>
  <si>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</si>
  <si>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</si>
  <si>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</si>
  <si>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</si>
  <si>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</si>
  <si>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</si>
  <si>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</si>
  <si>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</si>
  <si>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</si>
  <si>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</si>
  <si>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</si>
  <si>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</si>
  <si>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</si>
  <si>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</si>
  <si>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</si>
  <si>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</si>
  <si>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</si>
  <si>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</si>
  <si>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</si>
  <si>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</si>
  <si>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</si>
  <si>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</si>
  <si>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</si>
  <si>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</si>
  <si>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</si>
  <si>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</si>
  <si>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</si>
  <si>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</si>
  <si>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</si>
  <si>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</si>
  <si>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</si>
  <si>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</si>
  <si>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</si>
  <si>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</si>
  <si>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</si>
  <si>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</si>
  <si>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</si>
  <si>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</si>
  <si>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</si>
  <si>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</si>
  <si>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</si>
  <si>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</si>
  <si>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</si>
  <si>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</si>
  <si>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</si>
  <si>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</si>
  <si>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</si>
  <si>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</si>
  <si>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</si>
  <si>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</si>
  <si>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</si>
  <si>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</si>
  <si>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</si>
  <si>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</si>
  <si>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</si>
  <si>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</si>
  <si>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</si>
  <si>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</si>
  <si>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</si>
  <si>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</si>
  <si>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</si>
  <si>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</si>
  <si>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</si>
  <si>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</si>
  <si>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</si>
  <si>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</si>
  <si>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</si>
  <si>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</si>
  <si>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</si>
  <si>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</si>
  <si>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</si>
  <si>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</si>
  <si>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</si>
  <si>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</si>
  <si>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</si>
  <si>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</si>
  <si>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</si>
  <si>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</si>
  <si>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</si>
  <si>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</si>
  <si>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</si>
  <si>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</si>
  <si>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</si>
  <si>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</si>
  <si>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</si>
  <si>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</si>
  <si>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</si>
  <si>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</si>
  <si>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</si>
  <si>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</si>
  <si>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https://portal.eias.ru/Portal/DownloadPage.aspx?type=12&amp;guid=8a5e4fef-ed56-4fff-9917-f2148b0ad418</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</si>
  <si>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</si>
  <si>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</si>
  <si>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</si>
  <si>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 xml:space="preserve">Положение о закупках КГУП «Примтеплоэнерго» в соответствии с Федеральным законом от 18.07.2011№223-ФЗ (ред.от31.07.2020) "О закупках товаров, работ, услуг отдельными видами юридических лиц"(с изм.идоп., вступ. в силу  с  31.08.2020), утв. Приказом генерального директора КГУП«Примтеплоэнерго» от 05.04.2021№132 Федеральныйзакон от05.04.2013№44-ФЗ (ред.от31.07.2020) "О контрактной системе в сфере закупок товаров, работ, услуг для обеспечения государственных и муниципальных нужд" </t>
  </si>
  <si>
    <t>www.zakupki.gov.ruhttp://www.primtep.ru/partner/purchase/</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</si>
  <si>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</si>
  <si>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в информационно-телекоммуникационной сети «Интернет» для размещения информации о месте размещения положения о закупках регулируемой организации - www.zakupki.gov.ru Сайт предприятия - http://www.primtep.ru/partner/purchase/</t>
  </si>
  <si>
    <t xml:space="preserve">Информация о планировании закупочных  процедур размещена на официальном сайте РФ - www.zakupki.gov.ru  </t>
  </si>
  <si>
    <t>www.zakupki.gov.ru</t>
  </si>
  <si>
    <t xml:space="preserve">Информация о результатах проведения закупочных процедур размещена на официальном сайте РФ - www.zakupki.gov.ru </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</si>
  <si>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</si>
  <si>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</si>
  <si>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</si>
  <si>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</si>
  <si>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</si>
  <si>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</si>
  <si>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</si>
  <si>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</si>
  <si>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</si>
  <si>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</si>
  <si>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</si>
  <si>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</si>
  <si>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</si>
  <si>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</si>
  <si>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</si>
  <si>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</si>
  <si>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</si>
  <si>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</si>
  <si>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</si>
  <si>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</si>
  <si>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</si>
  <si>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</si>
  <si>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</si>
  <si>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</si>
  <si>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</si>
  <si>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</si>
  <si>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</si>
  <si>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</si>
  <si>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</si>
  <si>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</si>
  <si>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</si>
  <si>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</si>
  <si>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</si>
  <si>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</si>
  <si>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</si>
  <si>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</si>
  <si>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</si>
  <si>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</si>
  <si>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</si>
  <si>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</si>
  <si>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</si>
  <si>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</si>
  <si>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</si>
  <si>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</si>
  <si>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</si>
  <si>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</si>
  <si>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</si>
  <si>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</si>
  <si>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</si>
  <si>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</si>
  <si>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</si>
  <si>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</si>
  <si>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</si>
  <si>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</si>
  <si>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</si>
  <si>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</si>
  <si>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</si>
  <si>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</si>
  <si>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</si>
  <si>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</si>
  <si>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</si>
  <si>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</si>
  <si>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</si>
  <si>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</si>
  <si>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</si>
  <si>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</si>
  <si>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</si>
  <si>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</si>
  <si>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</si>
  <si>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</si>
  <si>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</si>
  <si>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</si>
  <si>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</si>
  <si>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</si>
  <si>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</si>
  <si>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</si>
  <si>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</si>
  <si>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</si>
  <si>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</si>
  <si>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</si>
  <si>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</si>
  <si>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</si>
  <si>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</si>
  <si>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</si>
  <si>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</si>
  <si>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</si>
  <si>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</si>
  <si>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</si>
  <si>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</si>
  <si>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</si>
  <si>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</si>
  <si>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</si>
  <si>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</si>
  <si>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</si>
  <si>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</si>
  <si>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</si>
  <si>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</si>
  <si>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</si>
  <si>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</si>
  <si>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</si>
  <si>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</si>
  <si>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</si>
  <si>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</si>
  <si>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</si>
  <si>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</si>
  <si>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</si>
  <si>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</si>
  <si>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</si>
  <si>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</si>
  <si>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</si>
  <si>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</si>
  <si>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</si>
  <si>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</si>
  <si>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</si>
  <si>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</si>
  <si>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</si>
  <si>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</si>
  <si>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</si>
  <si>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</si>
  <si>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</si>
  <si>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</si>
  <si>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</si>
  <si>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</si>
  <si>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</si>
  <si>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</si>
  <si>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</si>
  <si>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</si>
  <si>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</si>
  <si>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</si>
  <si>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</si>
  <si>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</si>
  <si>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</si>
  <si>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</si>
  <si>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</si>
  <si>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</si>
  <si>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</si>
  <si>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</si>
  <si>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</si>
  <si>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</si>
  <si>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</si>
  <si>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</si>
  <si>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</si>
  <si>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</si>
  <si>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</si>
  <si>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</si>
  <si>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</si>
  <si>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</si>
  <si>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</si>
  <si>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</si>
  <si>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</si>
  <si>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</si>
  <si>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</si>
  <si>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</si>
  <si>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</si>
  <si>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</si>
  <si>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</si>
  <si>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</si>
  <si>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</si>
  <si>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</si>
  <si>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</si>
  <si>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</si>
  <si>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</si>
  <si>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</si>
  <si>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</si>
  <si>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</si>
  <si>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</si>
  <si>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</si>
  <si>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</si>
  <si>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</si>
  <si>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</si>
  <si>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</si>
  <si>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</si>
  <si>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</si>
  <si>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</si>
  <si>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</si>
  <si>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</si>
  <si>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</si>
  <si>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</si>
  <si>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</si>
  <si>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</si>
  <si>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</si>
  <si>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</si>
  <si>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</si>
  <si>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</si>
  <si>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</si>
  <si>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</si>
  <si>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</si>
  <si>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</si>
  <si>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</si>
  <si>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</si>
  <si>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</si>
  <si>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</si>
  <si>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</si>
  <si>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</si>
  <si>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</si>
  <si>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</si>
  <si>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</si>
  <si>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</si>
  <si>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</si>
  <si>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</si>
  <si>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</si>
  <si>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</si>
  <si>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</si>
  <si>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</si>
  <si>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</si>
  <si>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</si>
  <si>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</si>
  <si>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</si>
  <si>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</si>
  <si>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</si>
  <si>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</si>
  <si>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</si>
  <si>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</si>
  <si>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</si>
  <si>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</si>
  <si>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</si>
  <si>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</si>
  <si>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</si>
  <si>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</si>
  <si>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</si>
  <si>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</si>
  <si>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</si>
  <si>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</si>
  <si>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</si>
  <si>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</si>
  <si>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</si>
  <si>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</si>
  <si>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</si>
  <si>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</si>
  <si>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</si>
  <si>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</si>
  <si>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</si>
  <si>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</si>
  <si>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</si>
  <si>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</si>
  <si>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</si>
  <si>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</si>
  <si>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</si>
  <si>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</si>
  <si>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</si>
  <si>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</si>
  <si>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</si>
  <si>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</si>
  <si>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</si>
  <si>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</si>
  <si>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</si>
  <si>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</si>
  <si>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</si>
  <si>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</si>
  <si>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</si>
  <si>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</si>
  <si>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</si>
  <si>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</si>
  <si>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</si>
  <si>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</si>
  <si>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</si>
  <si>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</si>
  <si>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</si>
  <si>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</si>
  <si>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</si>
  <si>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</si>
  <si>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</si>
  <si>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</si>
  <si>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</si>
  <si>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</si>
  <si>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</si>
  <si>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</si>
  <si>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</si>
  <si>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</si>
  <si>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</si>
  <si>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</si>
  <si>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</si>
  <si>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</si>
  <si>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</si>
  <si>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</si>
  <si>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</si>
  <si>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</si>
  <si>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</si>
  <si>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</si>
  <si>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</si>
  <si>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</si>
  <si>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</si>
  <si>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</si>
  <si>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</si>
  <si>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</si>
  <si>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</si>
  <si>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</si>
  <si>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</si>
  <si>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</si>
  <si>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</si>
  <si>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</si>
  <si>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</si>
  <si>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</si>
  <si>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</si>
  <si>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</si>
  <si>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</si>
  <si>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</si>
  <si>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</si>
  <si>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</si>
  <si>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</si>
  <si>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</si>
  <si>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</si>
  <si>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</si>
  <si>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</si>
  <si>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</si>
  <si>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</si>
  <si>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</si>
  <si>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</si>
  <si>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</si>
  <si>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</si>
  <si>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</si>
  <si>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</si>
  <si>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</si>
  <si>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</si>
  <si>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</si>
  <si>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</si>
  <si>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</si>
  <si>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</si>
  <si>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</si>
  <si>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</si>
  <si>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</si>
  <si>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</si>
  <si>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</si>
  <si>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</si>
  <si>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</si>
  <si>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</si>
  <si>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</si>
  <si>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</si>
  <si>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</si>
  <si>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</si>
  <si>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</si>
  <si>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</si>
  <si>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</si>
  <si>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</si>
  <si>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</si>
  <si>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</si>
  <si>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</si>
  <si>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</si>
  <si>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</si>
  <si>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</si>
  <si>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</si>
  <si>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</si>
  <si>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</si>
  <si>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</si>
  <si>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</si>
  <si>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</si>
  <si>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</si>
  <si>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</si>
  <si>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</si>
  <si>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</si>
  <si>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</si>
  <si>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</si>
  <si>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</si>
  <si>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</si>
  <si>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</si>
  <si>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</si>
  <si>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</si>
  <si>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</si>
  <si>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</si>
  <si>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</si>
  <si>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</si>
  <si>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</si>
  <si>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</si>
  <si>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</si>
  <si>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</si>
  <si>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</si>
  <si>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</si>
  <si>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</si>
  <si>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</si>
  <si>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</si>
  <si>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</si>
  <si>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</si>
  <si>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</si>
  <si>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</si>
  <si>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</si>
  <si>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</si>
  <si>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</si>
  <si>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</si>
  <si>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</si>
  <si>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</si>
  <si>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</si>
  <si>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</si>
  <si>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</si>
  <si>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</si>
  <si>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</si>
  <si>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</si>
  <si>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</si>
  <si>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</si>
  <si>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</si>
  <si>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</si>
  <si>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</si>
  <si>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</si>
  <si>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</si>
  <si>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</si>
  <si>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</si>
  <si>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</si>
  <si>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</si>
  <si>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</si>
  <si>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</si>
  <si>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</si>
  <si>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</si>
  <si>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</si>
  <si>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</si>
  <si>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</si>
  <si>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</si>
  <si>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</si>
  <si>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</si>
  <si>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</si>
  <si>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</si>
  <si>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</si>
  <si>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</si>
  <si>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</si>
  <si>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</si>
  <si>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</si>
  <si>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</si>
  <si>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</si>
  <si>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</si>
  <si>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</si>
  <si>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</si>
  <si>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</si>
  <si>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</si>
  <si>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</si>
  <si>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</si>
  <si>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</si>
  <si>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</si>
  <si>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</si>
  <si>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</si>
  <si>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</si>
  <si>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</si>
  <si>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</si>
  <si>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</si>
  <si>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</si>
  <si>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</si>
  <si>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</si>
  <si>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</si>
  <si>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</si>
  <si>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</si>
  <si>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</si>
  <si>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</si>
  <si>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</si>
  <si>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</si>
  <si>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</si>
  <si>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</si>
  <si>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</si>
  <si>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</si>
  <si>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</si>
  <si>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</si>
  <si>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</si>
  <si>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</si>
  <si>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</si>
  <si>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</si>
  <si>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</si>
  <si>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</si>
  <si>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</si>
  <si>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</si>
  <si>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</si>
  <si>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</si>
  <si>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</si>
  <si>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</si>
  <si>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</si>
  <si>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</si>
  <si>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</si>
  <si>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</si>
  <si>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</si>
  <si>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</si>
  <si>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</si>
  <si>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</si>
  <si>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</si>
  <si>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</si>
  <si>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</si>
  <si>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</si>
  <si>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</si>
  <si>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</si>
  <si>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</si>
  <si>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</si>
  <si>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</si>
  <si>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</si>
  <si>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</si>
  <si>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</si>
  <si>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</si>
  <si>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</si>
  <si>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</si>
  <si>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</si>
  <si>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</si>
  <si>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</si>
  <si>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</si>
  <si>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</si>
  <si>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</si>
  <si>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</si>
  <si>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</si>
  <si>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</si>
  <si>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</si>
  <si>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</si>
  <si>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</si>
  <si>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</si>
  <si>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</si>
  <si>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</si>
  <si>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</si>
  <si>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</si>
  <si>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</si>
  <si>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</si>
  <si>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</si>
  <si>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</si>
  <si>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</si>
  <si>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</si>
  <si>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</si>
  <si>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</si>
  <si>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</si>
  <si>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</si>
  <si>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</si>
  <si>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</si>
  <si>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</si>
  <si>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</si>
  <si>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</si>
  <si>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</si>
  <si>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</si>
  <si>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</si>
  <si>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</si>
  <si>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</si>
  <si>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</si>
  <si>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</si>
  <si>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</si>
  <si>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</si>
  <si>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</si>
  <si>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</si>
  <si>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</si>
  <si>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</si>
  <si>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</si>
  <si>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</si>
  <si>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</si>
  <si>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</si>
  <si>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</si>
  <si>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</si>
  <si>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</si>
  <si>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</si>
  <si>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</si>
  <si>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</si>
  <si>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</si>
  <si>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</si>
  <si>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</si>
  <si>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</si>
  <si>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</si>
  <si>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</si>
  <si>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</si>
  <si>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</si>
  <si>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</si>
  <si>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</si>
  <si>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</si>
  <si>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</si>
  <si>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</si>
  <si>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</si>
  <si>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</si>
  <si>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</si>
  <si>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</si>
  <si>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</si>
  <si>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</si>
  <si>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</si>
  <si>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</si>
  <si>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</si>
  <si>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</si>
  <si>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</si>
  <si>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</si>
  <si>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</si>
  <si>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</si>
  <si>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</si>
  <si>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</si>
  <si>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</si>
  <si>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</si>
  <si>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</si>
  <si>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</si>
  <si>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</si>
  <si>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</si>
  <si>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</si>
  <si>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</si>
  <si>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</si>
  <si>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</si>
  <si>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</si>
  <si>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</si>
  <si>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</si>
  <si>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</si>
  <si>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</si>
  <si>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</si>
  <si>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</si>
  <si>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</si>
  <si>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</si>
  <si>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</si>
  <si>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</si>
  <si>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</si>
  <si>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</si>
  <si>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</si>
  <si>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</si>
  <si>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</si>
  <si>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</si>
  <si>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</si>
  <si>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</si>
  <si>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</si>
  <si>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</si>
  <si>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</si>
  <si>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</si>
  <si>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</si>
  <si>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</si>
  <si>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</si>
  <si>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</si>
  <si>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</si>
  <si>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</si>
  <si>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</si>
  <si>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</si>
  <si>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</si>
  <si>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</si>
  <si>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</si>
  <si>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</si>
  <si>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</si>
  <si>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</si>
  <si>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</si>
  <si>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</si>
  <si>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</si>
  <si>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</si>
  <si>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</si>
  <si>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</si>
  <si>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</si>
  <si>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</si>
  <si>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</si>
  <si>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</si>
  <si>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</si>
  <si>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</si>
  <si>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</si>
  <si>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</si>
  <si>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</si>
  <si>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</si>
  <si>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</si>
  <si>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</si>
  <si>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</si>
  <si>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</si>
  <si>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</si>
  <si>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</si>
  <si>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</si>
  <si>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</si>
  <si>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</si>
  <si>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</si>
  <si>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</si>
  <si>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</si>
  <si>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</si>
  <si>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</si>
  <si>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</si>
  <si>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</si>
  <si>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</si>
  <si>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</si>
  <si>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</si>
  <si>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</si>
  <si>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</si>
  <si>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</si>
  <si>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</si>
  <si>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</si>
  <si>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</si>
  <si>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</si>
  <si>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</si>
  <si>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</si>
  <si>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</si>
  <si>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</si>
  <si>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</si>
  <si>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</si>
  <si>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</si>
  <si>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</si>
  <si>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</si>
  <si>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</si>
  <si>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</si>
  <si>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</si>
  <si>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</si>
  <si>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</si>
  <si>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</si>
  <si>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</si>
  <si>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</si>
  <si>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</si>
  <si>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</si>
  <si>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</si>
  <si>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</si>
  <si>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</si>
  <si>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</si>
  <si>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</si>
  <si>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</si>
  <si>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</si>
  <si>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</si>
  <si>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</si>
  <si>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</si>
  <si>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</si>
  <si>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</si>
  <si>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</si>
  <si>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</si>
  <si>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</si>
  <si>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</si>
  <si>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</si>
  <si>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</si>
  <si>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</si>
  <si>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</si>
  <si>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</si>
  <si>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</si>
  <si>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</si>
  <si>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</si>
  <si>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</si>
  <si>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</si>
  <si>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</si>
  <si>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</si>
  <si>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</si>
  <si>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</si>
  <si>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</si>
  <si>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</si>
  <si>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</si>
  <si>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</si>
  <si>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</si>
  <si>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</si>
  <si>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</si>
  <si>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</si>
  <si>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</si>
  <si>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</si>
  <si>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</si>
  <si>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</si>
  <si>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</si>
  <si>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</si>
  <si>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</si>
  <si>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</si>
  <si>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</si>
  <si>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</si>
  <si>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</si>
  <si>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</si>
  <si>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</si>
  <si>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</si>
  <si>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</si>
  <si>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</si>
  <si>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</si>
  <si>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</si>
  <si>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</si>
  <si>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</si>
  <si>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</si>
  <si>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Предложение о корректировке долгосрочных тарифов на ГВС (закрытая система) для потребителей на территории Приморского края с 2025 по 2028 годы</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</si>
  <si>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</si>
  <si>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</si>
  <si>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</si>
  <si>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</si>
  <si>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</si>
  <si>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</si>
  <si>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</si>
  <si>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</si>
  <si>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</si>
  <si>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</si>
  <si>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</si>
  <si>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</si>
  <si>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</si>
  <si>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</si>
  <si>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</si>
  <si>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</si>
  <si>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</si>
  <si>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</si>
  <si>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</si>
  <si>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</si>
  <si>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</si>
  <si>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</si>
  <si>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</si>
  <si>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</si>
  <si>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</si>
  <si>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</si>
  <si>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</si>
  <si>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</si>
  <si>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</si>
  <si>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</si>
  <si>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</si>
  <si>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</si>
  <si>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</si>
  <si>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</si>
  <si>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</si>
  <si>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</si>
  <si>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</si>
  <si>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</si>
  <si>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</si>
  <si>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</si>
  <si>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</si>
  <si>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</si>
  <si>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</si>
  <si>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</si>
  <si>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</si>
  <si>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</si>
  <si>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</si>
  <si>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</si>
  <si>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</si>
  <si>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</si>
  <si>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</si>
  <si>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</si>
  <si>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</si>
  <si>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</si>
  <si>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</si>
  <si>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</si>
  <si>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</si>
  <si>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</si>
  <si>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</si>
  <si>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</si>
  <si>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</si>
  <si>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</si>
  <si>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</si>
  <si>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</si>
  <si>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</si>
  <si>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</si>
  <si>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</si>
  <si>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</si>
  <si>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</si>
  <si>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</si>
  <si>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</si>
  <si>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</si>
  <si>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</si>
  <si>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</si>
  <si>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</si>
  <si>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</si>
  <si>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</si>
  <si>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</si>
  <si>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</si>
  <si>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</si>
  <si>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</si>
  <si>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</si>
  <si>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</si>
  <si>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</si>
  <si>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</si>
  <si>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</si>
  <si>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</si>
  <si>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</si>
  <si>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</si>
  <si>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</si>
  <si>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</si>
  <si>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</si>
  <si>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</si>
  <si>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</si>
  <si>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</si>
  <si>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</si>
  <si>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</si>
  <si>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</si>
  <si>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</si>
  <si>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</si>
  <si>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</si>
  <si>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</si>
  <si>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</si>
  <si>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</si>
  <si>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</si>
  <si>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</si>
  <si>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</si>
  <si>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</si>
  <si>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</si>
  <si>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</si>
  <si>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</si>
  <si>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</si>
  <si>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</si>
  <si>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</si>
  <si>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</si>
  <si>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</si>
  <si>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</si>
  <si>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</si>
  <si>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</si>
  <si>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</si>
  <si>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</si>
  <si>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</si>
  <si>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</si>
  <si>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</si>
  <si>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</si>
  <si>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</si>
  <si>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</si>
  <si>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</si>
  <si>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</si>
  <si>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</si>
  <si>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</si>
  <si>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</si>
  <si>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</si>
  <si>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</si>
  <si>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</si>
  <si>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</si>
  <si>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</si>
  <si>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</si>
  <si>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</si>
  <si>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</si>
  <si>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</si>
  <si>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</si>
  <si>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</si>
  <si>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</si>
  <si>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</si>
  <si>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</si>
  <si>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</si>
  <si>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</si>
  <si>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</si>
  <si>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</si>
  <si>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</si>
  <si>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</si>
  <si>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</si>
  <si>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</si>
  <si>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</si>
  <si>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</si>
  <si>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</si>
  <si>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</si>
  <si>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</si>
  <si>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</si>
  <si>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</si>
  <si>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</si>
  <si>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</si>
  <si>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</si>
  <si>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</si>
  <si>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</si>
  <si>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</si>
  <si>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</si>
  <si>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</si>
  <si>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</si>
  <si>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</si>
  <si>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</si>
  <si>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</si>
  <si>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</si>
  <si>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</si>
  <si>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</si>
  <si>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</si>
  <si>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</si>
  <si>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</si>
  <si>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</si>
  <si>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</si>
  <si>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</si>
  <si>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</si>
  <si>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</si>
  <si>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</si>
  <si>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</si>
  <si>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</si>
  <si>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</si>
  <si>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</si>
  <si>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</si>
  <si>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</si>
  <si>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</si>
  <si>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</si>
  <si>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</si>
  <si>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</si>
  <si>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</si>
  <si>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</si>
  <si>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</si>
  <si>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</si>
  <si>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</si>
  <si>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</si>
  <si>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</si>
  <si>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</si>
  <si>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</si>
  <si>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</si>
  <si>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</si>
  <si>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</si>
  <si>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</si>
  <si>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</si>
  <si>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</si>
  <si>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</si>
  <si>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</si>
  <si>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</si>
  <si>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</si>
  <si>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</si>
  <si>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</si>
  <si>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</si>
  <si>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</si>
  <si>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</si>
  <si>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</si>
  <si>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</si>
  <si>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</si>
  <si>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</si>
  <si>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</si>
  <si>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</si>
  <si>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</si>
  <si>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</si>
  <si>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</si>
  <si>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</si>
  <si>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</si>
  <si>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</si>
  <si>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</si>
  <si>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</si>
  <si>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</si>
  <si>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</si>
  <si>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</si>
  <si>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</si>
  <si>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</si>
  <si>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</si>
  <si>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</si>
  <si>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</si>
  <si>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</si>
  <si>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</si>
  <si>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</si>
  <si>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</si>
  <si>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</si>
  <si>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</si>
  <si>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</si>
  <si>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</si>
  <si>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</si>
  <si>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</si>
  <si>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</si>
  <si>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</si>
  <si>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</si>
  <si>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</si>
  <si>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</si>
  <si>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</si>
  <si>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</si>
  <si>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</si>
  <si>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</si>
  <si>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</si>
  <si>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</si>
  <si>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</si>
  <si>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</si>
  <si>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</si>
  <si>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</si>
  <si>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</si>
  <si>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</si>
  <si>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</si>
  <si>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</si>
  <si>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</si>
  <si>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</si>
  <si>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</si>
  <si>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</si>
  <si>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</si>
  <si>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</si>
  <si>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</si>
  <si>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</si>
  <si>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</si>
  <si>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</si>
  <si>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</si>
  <si>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</si>
  <si>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</si>
  <si>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</si>
  <si>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</si>
  <si>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</si>
  <si>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</si>
  <si>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</si>
  <si>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</si>
  <si>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</si>
  <si>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</si>
  <si>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</si>
  <si>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</si>
  <si>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</si>
  <si>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</si>
  <si>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</si>
  <si>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</si>
  <si>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</si>
  <si>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</si>
  <si>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</si>
  <si>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</si>
  <si>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</si>
  <si>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</si>
  <si>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</si>
  <si>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</si>
  <si>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</si>
  <si>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</si>
  <si>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</si>
  <si>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</si>
  <si>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</si>
  <si>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</si>
  <si>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</si>
  <si>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</si>
  <si>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</si>
  <si>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</si>
  <si>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</si>
  <si>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</si>
  <si>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</si>
  <si>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</si>
  <si>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</si>
  <si>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</si>
  <si>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</si>
  <si>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</si>
  <si>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</si>
  <si>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</si>
  <si>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</si>
  <si>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</si>
  <si>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</si>
  <si>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</si>
  <si>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</si>
  <si>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</si>
  <si>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</si>
  <si>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</si>
  <si>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</si>
  <si>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</si>
  <si>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</si>
  <si>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</si>
  <si>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</si>
  <si>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</si>
  <si>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</si>
  <si>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</si>
  <si>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</si>
  <si>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</si>
  <si>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</si>
  <si>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</si>
  <si>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</si>
  <si>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</si>
  <si>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</si>
  <si>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</si>
  <si>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</si>
  <si>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</si>
  <si>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</si>
  <si>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</si>
  <si>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</si>
  <si>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</si>
  <si>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</si>
  <si>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</si>
  <si>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</si>
  <si>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</si>
  <si>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</si>
  <si>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26470128</t>
  </si>
  <si>
    <t>1983 ОМИС МО РФ п.Штыково</t>
  </si>
  <si>
    <t>2503006757</t>
  </si>
  <si>
    <t>250301001</t>
  </si>
  <si>
    <t>31-12-2010 00:00:00</t>
  </si>
  <si>
    <t>АГЕНТСТВО ПО ТАРИФАМ ПРИМОРСКОГО КРАЯ</t>
  </si>
  <si>
    <t>2540069025</t>
  </si>
  <si>
    <t>254001001</t>
  </si>
  <si>
    <t>30856890</t>
  </si>
  <si>
    <t>АНО "Приморский консультационный центр предпринимательства"</t>
  </si>
  <si>
    <t>2536105400</t>
  </si>
  <si>
    <t>253601001</t>
  </si>
  <si>
    <t>27-12-2017 00:00:00</t>
  </si>
  <si>
    <t>26470028</t>
  </si>
  <si>
    <t>АО " Находкинский морской торговый порт"</t>
  </si>
  <si>
    <t>2508001449</t>
  </si>
  <si>
    <t>250801001</t>
  </si>
  <si>
    <t>26565199</t>
  </si>
  <si>
    <t>АО "Артемовская экспедиция"</t>
  </si>
  <si>
    <t>2502016255</t>
  </si>
  <si>
    <t>250201001</t>
  </si>
  <si>
    <t>30363792</t>
  </si>
  <si>
    <t>АО "ГУ ЖКХ"</t>
  </si>
  <si>
    <t>5116000922</t>
  </si>
  <si>
    <t>770401002</t>
  </si>
  <si>
    <t>01-01-2018 00:00:00</t>
  </si>
  <si>
    <t>26320262</t>
  </si>
  <si>
    <t>АО "Горно-химическая компания Бор"</t>
  </si>
  <si>
    <t>2505009506</t>
  </si>
  <si>
    <t>770601001</t>
  </si>
  <si>
    <t>05-11-2004 00:00:00</t>
  </si>
  <si>
    <t>20-12-2020 00:00:00</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</si>
  <si>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</si>
  <si>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</si>
  <si>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</si>
  <si>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</si>
  <si>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</si>
  <si>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</si>
  <si>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</si>
  <si>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</si>
  <si>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</si>
  <si>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</si>
  <si>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</si>
  <si>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</si>
  <si>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</si>
  <si>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</si>
  <si>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</si>
  <si>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</si>
  <si>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</si>
  <si>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</si>
  <si>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</si>
  <si>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</si>
  <si>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</si>
  <si>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</si>
  <si>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</si>
  <si>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</si>
  <si>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</si>
  <si>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</si>
  <si>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</si>
  <si>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</si>
  <si>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</si>
  <si>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</si>
  <si>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</si>
  <si>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</si>
  <si>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</si>
  <si>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</si>
  <si>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</si>
  <si>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</si>
  <si>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</si>
  <si>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</si>
  <si>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</si>
  <si>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</si>
  <si>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</si>
  <si>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</si>
  <si>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</si>
  <si>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</si>
  <si>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</si>
  <si>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</si>
  <si>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</si>
  <si>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</si>
  <si>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</si>
  <si>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</si>
  <si>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</si>
  <si>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</si>
  <si>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</si>
  <si>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</si>
  <si>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</si>
  <si>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</si>
  <si>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</si>
  <si>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</si>
  <si>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</si>
  <si>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</si>
  <si>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</si>
  <si>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</si>
  <si>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</si>
  <si>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</si>
  <si>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</si>
  <si>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</si>
  <si>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</si>
  <si>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</si>
  <si>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</si>
  <si>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</si>
  <si>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</si>
  <si>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</si>
  <si>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</si>
  <si>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</si>
  <si>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</si>
  <si>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</si>
  <si>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</si>
  <si>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</si>
  <si>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</si>
  <si>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</si>
  <si>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</si>
  <si>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</si>
  <si>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</si>
  <si>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</si>
  <si>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</si>
  <si>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</si>
  <si>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</si>
  <si>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</si>
  <si>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</si>
  <si>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</si>
  <si>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</si>
  <si>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</si>
  <si>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</si>
  <si>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</si>
  <si>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</si>
  <si>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</si>
  <si>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</si>
  <si>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</si>
  <si>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</si>
  <si>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</si>
  <si>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</si>
  <si>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</si>
  <si>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</si>
  <si>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26470401</t>
  </si>
  <si>
    <t>ЗАО Жилищно-коммунальное управление</t>
  </si>
  <si>
    <t>2526003671</t>
  </si>
  <si>
    <t>252601001</t>
  </si>
  <si>
    <t>14-02-2022 00:00:00</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</si>
  <si>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</si>
  <si>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</si>
  <si>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</si>
  <si>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</si>
  <si>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</si>
  <si>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</si>
  <si>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</si>
  <si>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</si>
  <si>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</si>
  <si>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</si>
  <si>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</si>
  <si>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</si>
  <si>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</si>
  <si>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</si>
  <si>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</si>
  <si>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</si>
  <si>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</si>
  <si>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</si>
  <si>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</si>
  <si>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</si>
  <si>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</si>
  <si>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</si>
  <si>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</si>
  <si>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</si>
  <si>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</si>
  <si>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26469922</t>
  </si>
  <si>
    <t>КГУП "Котельная с тепловыми сетями "</t>
  </si>
  <si>
    <t>2539007708</t>
  </si>
  <si>
    <t>253901001</t>
  </si>
  <si>
    <t>31-12-2020 00:00:00</t>
  </si>
  <si>
    <t>26469914</t>
  </si>
  <si>
    <t>КГУП "Приморский экологический оператор"</t>
  </si>
  <si>
    <t>2504000885</t>
  </si>
  <si>
    <t>26470185</t>
  </si>
  <si>
    <t>30423124</t>
  </si>
  <si>
    <t>КГУП Примтеплоэнерго</t>
  </si>
  <si>
    <t>250132001</t>
  </si>
  <si>
    <t>01-01-2017 00:00:00</t>
  </si>
  <si>
    <t>26470353</t>
  </si>
  <si>
    <t>251532001</t>
  </si>
  <si>
    <t>10-10-2018 00:00:00</t>
  </si>
  <si>
    <t>31503620</t>
  </si>
  <si>
    <t>МБУ "СКС"</t>
  </si>
  <si>
    <t>2502064403</t>
  </si>
  <si>
    <t>26-03-2021 00:00:00</t>
  </si>
  <si>
    <t>26470118</t>
  </si>
  <si>
    <t>МКП "Энергетик"</t>
  </si>
  <si>
    <t>2534006718</t>
  </si>
  <si>
    <t>253401001</t>
  </si>
  <si>
    <t>17-04-2008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</si>
  <si>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</si>
  <si>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</si>
  <si>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</si>
  <si>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</si>
  <si>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</si>
  <si>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</si>
  <si>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</si>
  <si>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</si>
  <si>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</si>
  <si>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</si>
  <si>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</si>
  <si>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26470112</t>
  </si>
  <si>
    <t>МУП "Коммунальный комплекс Пластун"</t>
  </si>
  <si>
    <t>2528885436</t>
  </si>
  <si>
    <t>252801001</t>
  </si>
  <si>
    <t>07-06-2013 00:00:00</t>
  </si>
  <si>
    <t>26470110</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</si>
  <si>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</si>
  <si>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</si>
  <si>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</si>
  <si>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</si>
  <si>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</si>
  <si>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</si>
  <si>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</si>
  <si>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</si>
  <si>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</si>
  <si>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</si>
  <si>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</si>
  <si>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</si>
  <si>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</si>
  <si>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</si>
  <si>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</si>
  <si>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</si>
  <si>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</si>
  <si>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</si>
  <si>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</si>
  <si>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</si>
  <si>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</si>
  <si>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</si>
  <si>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</si>
  <si>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</si>
  <si>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</si>
  <si>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</si>
  <si>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</si>
  <si>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</si>
  <si>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</si>
  <si>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</si>
  <si>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</si>
  <si>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</si>
  <si>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</si>
  <si>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26538885</t>
  </si>
  <si>
    <t>ОАО "Дальневосточная энергетическая управляющая компания"</t>
  </si>
  <si>
    <t>2540080100</t>
  </si>
  <si>
    <t>27572850</t>
  </si>
  <si>
    <t>ОАО "Дальприбор"</t>
  </si>
  <si>
    <t>2539008807</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</si>
  <si>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</si>
  <si>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</si>
  <si>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</si>
  <si>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</si>
  <si>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</si>
  <si>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</si>
  <si>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</si>
  <si>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</si>
  <si>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</si>
  <si>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</si>
  <si>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</si>
  <si>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</si>
  <si>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</si>
  <si>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</si>
  <si>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</si>
  <si>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</si>
  <si>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</si>
  <si>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</si>
  <si>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</si>
  <si>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</si>
  <si>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</si>
  <si>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27572882</t>
  </si>
  <si>
    <t>ООО "Артемовский механический завод"</t>
  </si>
  <si>
    <t>2502034198</t>
  </si>
  <si>
    <t>09-01-2023 00:00:00</t>
  </si>
  <si>
    <t>28870716</t>
  </si>
  <si>
    <t>ООО "БМК"</t>
  </si>
  <si>
    <t>2508115950</t>
  </si>
  <si>
    <t>27572866</t>
  </si>
  <si>
    <t>ООО "ВОЭРМЗ"</t>
  </si>
  <si>
    <t>2538125339</t>
  </si>
  <si>
    <t>30893385</t>
  </si>
  <si>
    <t>ООО "Водэкон"</t>
  </si>
  <si>
    <t>2524001189</t>
  </si>
  <si>
    <t>252401001</t>
  </si>
  <si>
    <t>07-12-2016 00:00:00</t>
  </si>
  <si>
    <t>26778927</t>
  </si>
  <si>
    <t>ООО "Возрождение"</t>
  </si>
  <si>
    <t>2506010060</t>
  </si>
  <si>
    <t>250602200</t>
  </si>
  <si>
    <t>12-12-2019 00:00:00</t>
  </si>
  <si>
    <t>31594636</t>
  </si>
  <si>
    <t>ООО "Восток Сервис Бункер"</t>
  </si>
  <si>
    <t>2508133131</t>
  </si>
  <si>
    <t>03-05-2018 00:00:00</t>
  </si>
  <si>
    <t>27666431</t>
  </si>
  <si>
    <t>ООО "ВостокСтрой"</t>
  </si>
  <si>
    <t>2506012244</t>
  </si>
  <si>
    <t>250601001</t>
  </si>
  <si>
    <t>01-03-2015 00:00:00</t>
  </si>
  <si>
    <t>28954027</t>
  </si>
  <si>
    <t>ООО "Востокстрой-1"</t>
  </si>
  <si>
    <t>2506013287</t>
  </si>
  <si>
    <t>15-01-2020 00:00:00</t>
  </si>
  <si>
    <t>26775485</t>
  </si>
  <si>
    <t>ООО "Востоктепло"</t>
  </si>
  <si>
    <t>2531010642</t>
  </si>
  <si>
    <t>01-08-2017 00:00:00</t>
  </si>
  <si>
    <t>26470056</t>
  </si>
  <si>
    <t>ООО "Гарант"</t>
  </si>
  <si>
    <t>2531008700</t>
  </si>
  <si>
    <t>15-01-2021 00:00:00</t>
  </si>
  <si>
    <t>31519396</t>
  </si>
  <si>
    <t>ООО "Гранд"</t>
  </si>
  <si>
    <t>2508092767</t>
  </si>
  <si>
    <t>17-09-2021 00:00:00</t>
  </si>
  <si>
    <t>30840373</t>
  </si>
  <si>
    <t>ООО "Дальневосточная производственная компания"</t>
  </si>
  <si>
    <t>2511096377</t>
  </si>
  <si>
    <t>18-10-2017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</si>
  <si>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</si>
  <si>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</si>
  <si>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</si>
  <si>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</si>
  <si>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</si>
  <si>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</si>
  <si>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</si>
  <si>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</si>
  <si>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</si>
  <si>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</si>
  <si>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</si>
  <si>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</si>
  <si>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</si>
  <si>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</si>
  <si>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</si>
  <si>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</si>
  <si>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</si>
  <si>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</si>
  <si>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</si>
  <si>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</si>
  <si>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</si>
  <si>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</si>
  <si>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</si>
  <si>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</si>
  <si>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</si>
  <si>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</si>
  <si>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</si>
  <si>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</si>
  <si>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30365072</t>
  </si>
  <si>
    <t>ООО "НАТЭК"</t>
  </si>
  <si>
    <t>2508122637</t>
  </si>
  <si>
    <t>03-02-2021 00:00:00</t>
  </si>
  <si>
    <t>31057864</t>
  </si>
  <si>
    <t>ООО "Находка Транс Компани"</t>
  </si>
  <si>
    <t>2721218159</t>
  </si>
  <si>
    <t>272101001</t>
  </si>
  <si>
    <t>28-07-2015 00:00:00</t>
  </si>
  <si>
    <t>10-11-2020 00:00:00</t>
  </si>
  <si>
    <t>28039579</t>
  </si>
  <si>
    <t>ООО "Паросиловой комплекс"</t>
  </si>
  <si>
    <t>2508110350</t>
  </si>
  <si>
    <t>04-05-2017 00:00:00</t>
  </si>
  <si>
    <t>27572750</t>
  </si>
  <si>
    <t>ООО "Предприятие "Востокрыбстрой"</t>
  </si>
  <si>
    <t>2538012920</t>
  </si>
  <si>
    <t>13-01-2012 00:00:00</t>
  </si>
  <si>
    <t>28870645</t>
  </si>
  <si>
    <t>ООО "Приграничье"</t>
  </si>
  <si>
    <t>2536152619</t>
  </si>
  <si>
    <t>31346874</t>
  </si>
  <si>
    <t>ООО "Приморская ГРЭС"</t>
  </si>
  <si>
    <t>2526006778</t>
  </si>
  <si>
    <t>14-08-2019 00:00:00</t>
  </si>
  <si>
    <t>27-04-2023 00:00:00</t>
  </si>
  <si>
    <t>29649591</t>
  </si>
  <si>
    <t>ООО "Приморская соя"</t>
  </si>
  <si>
    <t>7730168471</t>
  </si>
  <si>
    <t>26469952</t>
  </si>
  <si>
    <t>ООО "Приморский сахар"</t>
  </si>
  <si>
    <t>2511005010</t>
  </si>
  <si>
    <t>01-03-2017 00:00:00</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</si>
  <si>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</si>
  <si>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</si>
  <si>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</si>
  <si>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</si>
  <si>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</si>
  <si>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</si>
  <si>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</si>
  <si>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</si>
  <si>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</si>
  <si>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</si>
  <si>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</si>
  <si>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</si>
  <si>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</si>
  <si>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</si>
  <si>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</si>
  <si>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254301001</t>
  </si>
  <si>
    <t>26469994</t>
  </si>
  <si>
    <t>ООО "Санаторий "Амурский залив"</t>
  </si>
  <si>
    <t>2539042519</t>
  </si>
  <si>
    <t>08-09-1999 00:00:00</t>
  </si>
  <si>
    <t>26509583</t>
  </si>
  <si>
    <t>ООО "Саратовская ТЭЦ-1"</t>
  </si>
  <si>
    <t>6451424934</t>
  </si>
  <si>
    <t>645101001</t>
  </si>
  <si>
    <t>19-08-2009 00:00:00</t>
  </si>
  <si>
    <t>01-02-2021 00:00:00</t>
  </si>
  <si>
    <t>26795779</t>
  </si>
  <si>
    <t>ООО "Славянка"</t>
  </si>
  <si>
    <t>7702707386</t>
  </si>
  <si>
    <t>770201001</t>
  </si>
  <si>
    <t>31-12-2009 00:00:00</t>
  </si>
  <si>
    <t>28870724</t>
  </si>
  <si>
    <t>ООО "Спасскэнергия"</t>
  </si>
  <si>
    <t>2510013402</t>
  </si>
  <si>
    <t>26469942</t>
  </si>
  <si>
    <t>ООО "Сталкер"</t>
  </si>
  <si>
    <t>2511034892</t>
  </si>
  <si>
    <t>28856096</t>
  </si>
  <si>
    <t>ООО "ТВС Арсеньев"</t>
  </si>
  <si>
    <t>2501017263</t>
  </si>
  <si>
    <t>250101001</t>
  </si>
  <si>
    <t>12-03-2018 00:00:00</t>
  </si>
  <si>
    <t>26470092</t>
  </si>
  <si>
    <t>ООО "ТТП НЛХ Бикин"</t>
  </si>
  <si>
    <t>2526008126</t>
  </si>
  <si>
    <t>26768981</t>
  </si>
  <si>
    <t>ООО "Тепловик"</t>
  </si>
  <si>
    <t>5521009072</t>
  </si>
  <si>
    <t>552101001</t>
  </si>
  <si>
    <t>05-07-2011 00:00:00</t>
  </si>
  <si>
    <t>28870612</t>
  </si>
  <si>
    <t>ООО "Тепловые сети Находка"</t>
  </si>
  <si>
    <t>2540201548</t>
  </si>
  <si>
    <t>01-06-2017 00:00:00</t>
  </si>
  <si>
    <t>30985345</t>
  </si>
  <si>
    <t>2508128156</t>
  </si>
  <si>
    <t>25-02-2022 00:00:00</t>
  </si>
  <si>
    <t>28028705</t>
  </si>
  <si>
    <t>ООО "Техстройдом"</t>
  </si>
  <si>
    <t>2508079526</t>
  </si>
  <si>
    <t>26759412</t>
  </si>
  <si>
    <t>ООО "Транснефть - порт Козьмино"</t>
  </si>
  <si>
    <t>2508081814</t>
  </si>
  <si>
    <t>997250001</t>
  </si>
  <si>
    <t>26525181</t>
  </si>
  <si>
    <t>ООО "УК ПВЭСиК"</t>
  </si>
  <si>
    <t>2526007193</t>
  </si>
  <si>
    <t>26573160</t>
  </si>
  <si>
    <t>ООО "Управляющая Компания "ТЭК Арсеньев"</t>
  </si>
  <si>
    <t>2501014449</t>
  </si>
  <si>
    <t>26469948</t>
  </si>
  <si>
    <t>ООО "Уссурийские мельницы"</t>
  </si>
  <si>
    <t>2511042660</t>
  </si>
  <si>
    <t>26469966</t>
  </si>
  <si>
    <t>ООО "Уссурремтехснаб"</t>
  </si>
  <si>
    <t>2511081532</t>
  </si>
  <si>
    <t>01-11-2017 00:00:00</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</si>
  <si>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</si>
  <si>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</si>
  <si>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</si>
  <si>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</si>
  <si>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</si>
  <si>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</si>
  <si>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</si>
  <si>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</si>
  <si>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</si>
  <si>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</si>
  <si>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</si>
  <si>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</si>
  <si>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</si>
  <si>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28028607</t>
  </si>
  <si>
    <t>ООО "Энерготепло"</t>
  </si>
  <si>
    <t>2530008249</t>
  </si>
  <si>
    <t>29-04-2022 00:00:00</t>
  </si>
  <si>
    <t>27585085</t>
  </si>
  <si>
    <t>ООО "Энерготранспортная компания"</t>
  </si>
  <si>
    <t>2536245133</t>
  </si>
  <si>
    <t>11-10-2022 00:00:00</t>
  </si>
  <si>
    <t>26649772</t>
  </si>
  <si>
    <t>ООО «А-ЛИСА»</t>
  </si>
  <si>
    <t>2531002320</t>
  </si>
  <si>
    <t>14-06-2006 00:00:00</t>
  </si>
  <si>
    <t>26649796</t>
  </si>
  <si>
    <t>ООО «Абсолют-Сервис»</t>
  </si>
  <si>
    <t>2506010617</t>
  </si>
  <si>
    <t>30856884</t>
  </si>
  <si>
    <t>ООО НПП "ВЛАДПОРТБУНКЕР"</t>
  </si>
  <si>
    <t>2540016136</t>
  </si>
  <si>
    <t>26470215</t>
  </si>
  <si>
    <t>ООО УК ПВЭСиК</t>
  </si>
  <si>
    <t>2526009578</t>
  </si>
  <si>
    <t>30851839</t>
  </si>
  <si>
    <t>Обособленное подразжеление "Уссурийское" АО "ГУ ЖКХ"</t>
  </si>
  <si>
    <t>251145001</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</si>
  <si>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</si>
  <si>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</si>
  <si>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</si>
  <si>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</si>
  <si>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</si>
  <si>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</si>
  <si>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</si>
  <si>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</si>
  <si>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</si>
  <si>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</si>
  <si>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</si>
  <si>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</si>
  <si>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</si>
  <si>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</si>
  <si>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</si>
  <si>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</si>
  <si>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</si>
  <si>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</si>
  <si>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</si>
  <si>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26449407</t>
  </si>
  <si>
    <t>Свечинский районный телекоммуникационный узел (РТУ) Кировского филиала ОАО "Волгателеком"</t>
  </si>
  <si>
    <t>5260901817</t>
  </si>
  <si>
    <t>432832002</t>
  </si>
  <si>
    <t>24-06-2011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</si>
  <si>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</si>
  <si>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</si>
  <si>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</si>
  <si>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</si>
  <si>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</si>
  <si>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</si>
  <si>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</si>
  <si>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</si>
  <si>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</si>
  <si>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</si>
  <si>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26469946</t>
  </si>
  <si>
    <t>Уссурийское муниципальное предприятие тепловых сетей</t>
  </si>
  <si>
    <t>2511002442</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</si>
  <si>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</si>
  <si>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</si>
  <si>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</si>
  <si>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</si>
  <si>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</si>
  <si>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</si>
  <si>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</si>
  <si>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</si>
  <si>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</si>
  <si>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</si>
  <si>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</si>
  <si>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30388763</t>
  </si>
  <si>
    <t>ФГБУН" ФНЦ биоразнообразияназемной биоты Восточной Азии ДВО РАН" филал "ГТС" им. В.Л. Комарова</t>
  </si>
  <si>
    <t>2529001746</t>
  </si>
  <si>
    <t>31-12-2018 00:00:00</t>
  </si>
  <si>
    <t>30858640</t>
  </si>
  <si>
    <t>ФГКУ "Войсковая часть 2430"</t>
  </si>
  <si>
    <t>2538143578</t>
  </si>
  <si>
    <t>28945519</t>
  </si>
  <si>
    <t>ФГКУ "Доблесть"</t>
  </si>
  <si>
    <t>2521002240</t>
  </si>
  <si>
    <t>26469926</t>
  </si>
  <si>
    <t>ФГУ комбинат "Восток"</t>
  </si>
  <si>
    <t>2539009906</t>
  </si>
  <si>
    <t>26469958</t>
  </si>
  <si>
    <t>ФКУ "Лечебное исправительное учреждение  23 " ГУФСИН России по Приморскому краю</t>
  </si>
  <si>
    <t>2511003044</t>
  </si>
  <si>
    <t>26470022</t>
  </si>
  <si>
    <t>ФКУ ИК № 31 ГУФСИН по Приморскому краю</t>
  </si>
  <si>
    <t>2534002625</t>
  </si>
  <si>
    <t>29-02-2020 00:00:00</t>
  </si>
  <si>
    <t>26470124</t>
  </si>
  <si>
    <t>ФКУ ИК-20 ГУФСИН России по Приморскому краю</t>
  </si>
  <si>
    <t>2502025612</t>
  </si>
  <si>
    <t>26650028</t>
  </si>
  <si>
    <t>ФКУ ИК-31 ГУФСИН России по Приморскому краю</t>
  </si>
  <si>
    <t>2534005496</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</si>
  <si>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</si>
  <si>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</si>
  <si>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</si>
  <si>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</si>
  <si>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</si>
  <si>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</si>
  <si>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</si>
  <si>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</si>
  <si>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</si>
  <si>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</si>
  <si>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</si>
  <si>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</si>
  <si>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</si>
  <si>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</si>
  <si>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</si>
  <si>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</si>
  <si>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</si>
  <si>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</si>
  <si>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</si>
  <si>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</si>
  <si>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</si>
  <si>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</si>
  <si>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26470052</t>
  </si>
  <si>
    <t>войсковая часть 29982</t>
  </si>
  <si>
    <t>2512002597</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</si>
  <si>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</si>
  <si>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</si>
  <si>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</si>
  <si>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</si>
  <si>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</si>
  <si>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</si>
  <si>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</si>
  <si>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</si>
  <si>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</si>
  <si>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</si>
  <si>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</si>
  <si>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</si>
  <si>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</si>
  <si>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</si>
  <si>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</si>
  <si>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</si>
  <si>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</si>
  <si>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</si>
  <si>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</si>
  <si>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</si>
  <si>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</si>
  <si>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</si>
  <si>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</si>
  <si>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</si>
  <si>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</si>
  <si>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</si>
  <si>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</si>
  <si>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253345002</t>
  </si>
  <si>
    <t>26650998</t>
  </si>
  <si>
    <t>ОАО "ДГК" филиал "Приморские тепловые сети"</t>
  </si>
  <si>
    <t>254002001</t>
  </si>
  <si>
    <t>26469986</t>
  </si>
  <si>
    <t>ООО "Спассктеплоэнерго "</t>
  </si>
  <si>
    <t>2510009886</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</si>
  <si>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</si>
  <si>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</si>
  <si>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</si>
  <si>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</si>
  <si>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</si>
  <si>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</si>
  <si>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</si>
  <si>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</si>
  <si>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</si>
  <si>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</si>
  <si>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</si>
  <si>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</si>
  <si>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</si>
  <si>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</si>
  <si>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</si>
  <si>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</si>
  <si>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</si>
  <si>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</si>
  <si>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</si>
  <si>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</si>
  <si>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</si>
  <si>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</si>
  <si>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26469956</t>
  </si>
  <si>
    <t>ЗАО "УМЖК "Приморская соя"</t>
  </si>
  <si>
    <t>2511033899</t>
  </si>
  <si>
    <t>31-12-2015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</si>
  <si>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</si>
  <si>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</si>
  <si>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</si>
  <si>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</si>
  <si>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</si>
  <si>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</si>
  <si>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</si>
  <si>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</si>
  <si>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</si>
  <si>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</si>
  <si>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</si>
  <si>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</si>
  <si>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</si>
  <si>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</si>
  <si>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</si>
  <si>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</si>
  <si>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</si>
  <si>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</si>
  <si>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</si>
  <si>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</si>
  <si>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</si>
  <si>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</si>
  <si>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</si>
  <si>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</si>
  <si>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</si>
  <si>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</si>
  <si>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</si>
  <si>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</si>
  <si>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</si>
  <si>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</si>
  <si>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</si>
  <si>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</si>
  <si>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</si>
  <si>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</si>
  <si>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</si>
  <si>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</si>
  <si>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</si>
  <si>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</si>
  <si>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</si>
  <si>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30876555</t>
  </si>
  <si>
    <t>МП "Гидросеть"</t>
  </si>
  <si>
    <t>2516002319</t>
  </si>
  <si>
    <t>08-09-2022 00:00:00</t>
  </si>
  <si>
    <t>27321197</t>
  </si>
  <si>
    <t>МП "Родник"</t>
  </si>
  <si>
    <t>2510010049</t>
  </si>
  <si>
    <t>26470243</t>
  </si>
  <si>
    <t>МУ МПКХ</t>
  </si>
  <si>
    <t>2516001178</t>
  </si>
  <si>
    <t>01-10-2010 00:00:00</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</si>
  <si>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</si>
  <si>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</si>
  <si>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</si>
  <si>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</si>
  <si>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</si>
  <si>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</si>
  <si>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</si>
  <si>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</si>
  <si>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</si>
  <si>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</si>
  <si>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</si>
  <si>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</si>
  <si>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</si>
  <si>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</si>
  <si>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</si>
  <si>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</si>
  <si>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</si>
  <si>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</si>
  <si>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</si>
  <si>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26580005</t>
  </si>
  <si>
    <t>МУП "Водсервис"</t>
  </si>
  <si>
    <t>2516000199</t>
  </si>
  <si>
    <t>28873729</t>
  </si>
  <si>
    <t>МУП "Исток" Хвалынское сп</t>
  </si>
  <si>
    <t>2510008811</t>
  </si>
  <si>
    <t>24-10-2022 00:00:00</t>
  </si>
  <si>
    <t>26469978</t>
  </si>
  <si>
    <t>МУП "Коммунальное обслуживание и благоустройство"</t>
  </si>
  <si>
    <t>2507227958</t>
  </si>
  <si>
    <t>26470327</t>
  </si>
  <si>
    <t>МУП "Покровское"</t>
  </si>
  <si>
    <t>2522000158</t>
  </si>
  <si>
    <t>27871023</t>
  </si>
  <si>
    <t>МУП "Ружинские коммунальные сети"</t>
  </si>
  <si>
    <t>2507003620</t>
  </si>
  <si>
    <t>07-03-2017 00:00:00</t>
  </si>
  <si>
    <t>31541606</t>
  </si>
  <si>
    <t>МУП "СУЧАНСКИЙ ВОДОКАНАЛ"</t>
  </si>
  <si>
    <t>2509049700</t>
  </si>
  <si>
    <t>03-07-2007 00:00:00</t>
  </si>
  <si>
    <t>26470537</t>
  </si>
  <si>
    <t>МУП "Тихоречное"</t>
  </si>
  <si>
    <t>2513004117</t>
  </si>
  <si>
    <t>30808342</t>
  </si>
  <si>
    <t>МУП "Уссури"</t>
  </si>
  <si>
    <t>2507010289</t>
  </si>
  <si>
    <t>12-10-2021 00:00:00</t>
  </si>
  <si>
    <t>28873696</t>
  </si>
  <si>
    <t>МУП «Зарубино-Транзит»</t>
  </si>
  <si>
    <t>2531010554</t>
  </si>
  <si>
    <t>31-12-2017 00:00:00</t>
  </si>
  <si>
    <t>26470269</t>
  </si>
  <si>
    <t>МУП «Погранводовод»</t>
  </si>
  <si>
    <t>2525000685</t>
  </si>
  <si>
    <t>26470227</t>
  </si>
  <si>
    <t>МУП Водоканал</t>
  </si>
  <si>
    <t>2532006550</t>
  </si>
  <si>
    <t>253201001</t>
  </si>
  <si>
    <t>26470413</t>
  </si>
  <si>
    <t>МУП Губеровское</t>
  </si>
  <si>
    <t>2526009360</t>
  </si>
  <si>
    <t>26470369</t>
  </si>
  <si>
    <t>МУП ДЭС-Глазковка</t>
  </si>
  <si>
    <t>2518111507</t>
  </si>
  <si>
    <t>251801001</t>
  </si>
  <si>
    <t>26470429</t>
  </si>
  <si>
    <t>МУП ЖКХ Сервис-Жариковское</t>
  </si>
  <si>
    <t>2525000734</t>
  </si>
  <si>
    <t>27833506</t>
  </si>
  <si>
    <t>МУП ЖКХ Сергеевское</t>
  </si>
  <si>
    <t>2525000854</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</si>
  <si>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</si>
  <si>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</si>
  <si>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</si>
  <si>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</si>
  <si>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</si>
  <si>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</si>
  <si>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</si>
  <si>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</si>
  <si>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</si>
  <si>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</si>
  <si>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</si>
  <si>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</si>
  <si>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26469998</t>
  </si>
  <si>
    <t>МУП СГП "Теплоэнерго" п.Сибирцево</t>
  </si>
  <si>
    <t>2533009770</t>
  </si>
  <si>
    <t>28-09-2017 00:00:00</t>
  </si>
  <si>
    <t>27833452</t>
  </si>
  <si>
    <t>МУП СГП Водоканал</t>
  </si>
  <si>
    <t>2533009642</t>
  </si>
  <si>
    <t>30866926</t>
  </si>
  <si>
    <t>МУП Славянского ГП "Славянка-Водоканал"</t>
  </si>
  <si>
    <t>2531012777</t>
  </si>
  <si>
    <t>21-09-2016 00:00:00</t>
  </si>
  <si>
    <t>28062634</t>
  </si>
  <si>
    <t>Муниципальное Унитарное Предприятие «Пожарское»</t>
  </si>
  <si>
    <t>2526011320</t>
  </si>
  <si>
    <t>26470515</t>
  </si>
  <si>
    <t>ОАО "Водоканал" г. Владивосток</t>
  </si>
  <si>
    <t>2538093800</t>
  </si>
  <si>
    <t>01-12-2010 00:00:00</t>
  </si>
  <si>
    <t>26813404</t>
  </si>
  <si>
    <t>ОАО "ДГК" СП Партизанская ГРЭС</t>
  </si>
  <si>
    <t>250932001</t>
  </si>
  <si>
    <t>30391734</t>
  </si>
  <si>
    <t>ОАО "Морепродукт"</t>
  </si>
  <si>
    <t>2508037928</t>
  </si>
  <si>
    <t>31369165</t>
  </si>
  <si>
    <t>ООО "Акватико"</t>
  </si>
  <si>
    <t>2501018115</t>
  </si>
  <si>
    <t>18-01-2016 00:00:00</t>
  </si>
  <si>
    <t>26581839</t>
  </si>
  <si>
    <t>ООО "Алмаз"</t>
  </si>
  <si>
    <t>2523004109</t>
  </si>
  <si>
    <t>252301001</t>
  </si>
  <si>
    <t>25-06-2019 00:00:00</t>
  </si>
  <si>
    <t>31097285</t>
  </si>
  <si>
    <t>ООО "ВКХ Тавричанка"</t>
  </si>
  <si>
    <t>2521014165</t>
  </si>
  <si>
    <t>04-08-2021 00:00:00</t>
  </si>
  <si>
    <t>28955244</t>
  </si>
  <si>
    <t>ООО "ВОСТОК"</t>
  </si>
  <si>
    <t>2523004660</t>
  </si>
  <si>
    <t>28069953</t>
  </si>
  <si>
    <t>ООО "Варфоломеевская УК"</t>
  </si>
  <si>
    <t>2535004551</t>
  </si>
  <si>
    <t>253501001</t>
  </si>
  <si>
    <t>20-07-2022 00:00:00</t>
  </si>
  <si>
    <t>31600940</t>
  </si>
  <si>
    <t>ООО "Водоканал Арсеньев"</t>
  </si>
  <si>
    <t>2502067683</t>
  </si>
  <si>
    <t>04-04-2022 00:00:00</t>
  </si>
  <si>
    <t>26777497</t>
  </si>
  <si>
    <t>ООО "Водоканал"</t>
  </si>
  <si>
    <t>2503017646</t>
  </si>
  <si>
    <t>26470347</t>
  </si>
  <si>
    <t>ООО "Водоканал-Сервис"</t>
  </si>
  <si>
    <t>2535004287</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</si>
  <si>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</si>
  <si>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</si>
  <si>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</si>
  <si>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</si>
  <si>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</si>
  <si>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</si>
  <si>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</si>
  <si>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</si>
  <si>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</si>
  <si>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</si>
  <si>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</si>
  <si>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</si>
  <si>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</si>
  <si>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26469910</t>
  </si>
  <si>
    <t>ООО "Вулкан"</t>
  </si>
  <si>
    <t>2521009790</t>
  </si>
  <si>
    <t>31-12-2016 00:00:00</t>
  </si>
  <si>
    <t>27833441</t>
  </si>
  <si>
    <t>ООО "Гранит"</t>
  </si>
  <si>
    <t>2531008996</t>
  </si>
  <si>
    <t>30-10-2023 00:00:00</t>
  </si>
  <si>
    <t>28856082</t>
  </si>
  <si>
    <t>ООО "Дальводоканал"</t>
  </si>
  <si>
    <t>2540190399</t>
  </si>
  <si>
    <t>31380860</t>
  </si>
  <si>
    <t>ООО "Дельта"</t>
  </si>
  <si>
    <t>2508094250</t>
  </si>
  <si>
    <t>26470535</t>
  </si>
  <si>
    <t>ООО "ЖК Партнеры"</t>
  </si>
  <si>
    <t>2503025206</t>
  </si>
  <si>
    <t>12-10-2020 00:00:00</t>
  </si>
  <si>
    <t>28978448</t>
  </si>
  <si>
    <t>ООО "ЖКХ Новонежино"</t>
  </si>
  <si>
    <t>2503031312</t>
  </si>
  <si>
    <t>26470084</t>
  </si>
  <si>
    <t>ООО "Жилсервис"</t>
  </si>
  <si>
    <t>2524111907</t>
  </si>
  <si>
    <t>26470193</t>
  </si>
  <si>
    <t>ООО "Ивановская РОО"</t>
  </si>
  <si>
    <t>2520003876</t>
  </si>
  <si>
    <t>14-04-2017 00:00:00</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</si>
  <si>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</si>
  <si>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</si>
  <si>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</si>
  <si>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</si>
  <si>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</si>
  <si>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</si>
  <si>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</si>
  <si>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</si>
  <si>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</si>
  <si>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</si>
  <si>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</si>
  <si>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</si>
  <si>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</si>
  <si>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</si>
  <si>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</si>
  <si>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26837378</t>
  </si>
  <si>
    <t>ООО "Коммунальщик"</t>
  </si>
  <si>
    <t>2512305305</t>
  </si>
  <si>
    <t>22-06-2017 00:00:00</t>
  </si>
  <si>
    <t>28468874</t>
  </si>
  <si>
    <t>ООО "Коммунальщик-Профи"</t>
  </si>
  <si>
    <t>2510007776</t>
  </si>
  <si>
    <t>01-11-2013 00:00:00</t>
  </si>
  <si>
    <t>26837374</t>
  </si>
  <si>
    <t>ООО "Компания ФОР"</t>
  </si>
  <si>
    <t>2536110640</t>
  </si>
  <si>
    <t>26470529</t>
  </si>
  <si>
    <t>ООО "Кристал"</t>
  </si>
  <si>
    <t>2506009555</t>
  </si>
  <si>
    <t>30866907</t>
  </si>
  <si>
    <t>ООО "Кристалл"</t>
  </si>
  <si>
    <t>2501018080</t>
  </si>
  <si>
    <t>18-12-2015 00:00:00</t>
  </si>
  <si>
    <t>31222438</t>
  </si>
  <si>
    <t>ООО "Лучегорский водоканал"</t>
  </si>
  <si>
    <t>2526006520</t>
  </si>
  <si>
    <t>26581830</t>
  </si>
  <si>
    <t>ООО "Нептун"</t>
  </si>
  <si>
    <t>2523004282</t>
  </si>
  <si>
    <t>17-06-2021 00:00:00</t>
  </si>
  <si>
    <t>31097294</t>
  </si>
  <si>
    <t>ООО "Новонежинский ключ"</t>
  </si>
  <si>
    <t>2503032147</t>
  </si>
  <si>
    <t>28856090</t>
  </si>
  <si>
    <t>ООО "Олимп"</t>
  </si>
  <si>
    <t>2510009170</t>
  </si>
  <si>
    <t>07-09-2021 00:00:00</t>
  </si>
  <si>
    <t>31363256</t>
  </si>
  <si>
    <t>ООО "Пантелеймоновское"</t>
  </si>
  <si>
    <t>2510007818</t>
  </si>
  <si>
    <t>16-02-2021 00:00:00</t>
  </si>
  <si>
    <t>28485124</t>
  </si>
  <si>
    <t>ООО "Свиягинское"</t>
  </si>
  <si>
    <t>2510011155</t>
  </si>
  <si>
    <t>08-10-2013 00:00:00</t>
  </si>
  <si>
    <t>30-03-2023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</si>
  <si>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</si>
  <si>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</si>
  <si>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</si>
  <si>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</si>
  <si>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</si>
  <si>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</si>
  <si>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</si>
  <si>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</si>
  <si>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</si>
  <si>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</si>
  <si>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</si>
  <si>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</si>
  <si>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</si>
  <si>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</si>
  <si>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</si>
  <si>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</si>
  <si>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30367494</t>
  </si>
  <si>
    <t>ООО "УК Тавричанка"</t>
  </si>
  <si>
    <t>2521013972</t>
  </si>
  <si>
    <t>25-03-2014 00:00:00</t>
  </si>
  <si>
    <t>06-05-2022 00:00:00</t>
  </si>
  <si>
    <t>26581859</t>
  </si>
  <si>
    <t>ООО "Фирма Сан"</t>
  </si>
  <si>
    <t>2521001102</t>
  </si>
  <si>
    <t>26470094</t>
  </si>
  <si>
    <t>ООО "Центр плюс"</t>
  </si>
  <si>
    <t>2526010125</t>
  </si>
  <si>
    <t>31256013</t>
  </si>
  <si>
    <t>ООО "Чкаловское многоотраслевое предприятие"</t>
  </si>
  <si>
    <t>2510009526</t>
  </si>
  <si>
    <t>27580288</t>
  </si>
  <si>
    <t>ООО "Эванс"</t>
  </si>
  <si>
    <t>2724059323</t>
  </si>
  <si>
    <t>254010001</t>
  </si>
  <si>
    <t>01-12-2011 00:00:00</t>
  </si>
  <si>
    <t>09-09-2019 00:00:00</t>
  </si>
  <si>
    <t>28873743</t>
  </si>
  <si>
    <t>ООО «Бастион Плюс»</t>
  </si>
  <si>
    <t>2510012286</t>
  </si>
  <si>
    <t>25-02-2019 00:00:00</t>
  </si>
  <si>
    <t>28873735</t>
  </si>
  <si>
    <t>ООО «УК Партнеры»</t>
  </si>
  <si>
    <t>2503030943</t>
  </si>
  <si>
    <t>27833382</t>
  </si>
  <si>
    <t>ООО Артель</t>
  </si>
  <si>
    <t>2510010923</t>
  </si>
  <si>
    <t>26470359</t>
  </si>
  <si>
    <t>ООО ВодЕко</t>
  </si>
  <si>
    <t>2524100359</t>
  </si>
  <si>
    <t>26470421</t>
  </si>
  <si>
    <t>ООО Водоканал</t>
  </si>
  <si>
    <t>2518115607</t>
  </si>
  <si>
    <t>31-03-2022 00:00:00</t>
  </si>
  <si>
    <t>26470291</t>
  </si>
  <si>
    <t>ООО Водоканал Михайловский</t>
  </si>
  <si>
    <t>2520002230</t>
  </si>
  <si>
    <t>22-10-2018 00:00:00</t>
  </si>
  <si>
    <t>27833393</t>
  </si>
  <si>
    <t>ООО Водоканал Ханкайский</t>
  </si>
  <si>
    <t>2530007118</t>
  </si>
  <si>
    <t>18-10-2019 00:00:00</t>
  </si>
  <si>
    <t>27838090</t>
  </si>
  <si>
    <t>ООО Водоотведение</t>
  </si>
  <si>
    <t>2536228473</t>
  </si>
  <si>
    <t>26470231</t>
  </si>
  <si>
    <t>ООО Горный ключ</t>
  </si>
  <si>
    <t>2508077254</t>
  </si>
  <si>
    <t>26470223</t>
  </si>
  <si>
    <t>ООО Девичанское</t>
  </si>
  <si>
    <t>2532004955</t>
  </si>
  <si>
    <t>26470389</t>
  </si>
  <si>
    <t>ООО Жилкомсервис</t>
  </si>
  <si>
    <t>2517007976</t>
  </si>
  <si>
    <t>27833338</t>
  </si>
  <si>
    <t>ООО Мегос</t>
  </si>
  <si>
    <t>2539033000</t>
  </si>
  <si>
    <t>26470179</t>
  </si>
  <si>
    <t>ООО Находка-Водоканал</t>
  </si>
  <si>
    <t>2508077896</t>
  </si>
  <si>
    <t>22-01-2018 00:00:00</t>
  </si>
  <si>
    <t>26470545</t>
  </si>
  <si>
    <t>ООО ОКП</t>
  </si>
  <si>
    <t>2522001218</t>
  </si>
  <si>
    <t>26470329</t>
  </si>
  <si>
    <t>ООО Поларис-групп</t>
  </si>
  <si>
    <t>2540080780</t>
  </si>
  <si>
    <t>31263071</t>
  </si>
  <si>
    <t>ООО РО "СпасскКоммуналСервис"</t>
  </si>
  <si>
    <t>2510014910</t>
  </si>
  <si>
    <t>27833477</t>
  </si>
  <si>
    <t>ООО Романовский коммунальщик</t>
  </si>
  <si>
    <t>2503026418</t>
  </si>
  <si>
    <t>26470263</t>
  </si>
  <si>
    <t>ООО Спасские коммунальные системы</t>
  </si>
  <si>
    <t>2510009519</t>
  </si>
  <si>
    <t>26470287</t>
  </si>
  <si>
    <t>ООО Спецавтохозяйство</t>
  </si>
  <si>
    <t>2521009172</t>
  </si>
  <si>
    <t>26470525</t>
  </si>
  <si>
    <t>ООО Техноком</t>
  </si>
  <si>
    <t>252601100</t>
  </si>
  <si>
    <t>31640943</t>
  </si>
  <si>
    <t>ООО УК "Рост"</t>
  </si>
  <si>
    <t>2536324071</t>
  </si>
  <si>
    <t>01-12-2022 00:00:00</t>
  </si>
  <si>
    <t>27833463</t>
  </si>
  <si>
    <t>ООО УК Новонежино</t>
  </si>
  <si>
    <t>2503026249</t>
  </si>
  <si>
    <t>12-01-2017 00:00:00</t>
  </si>
  <si>
    <t>27838101</t>
  </si>
  <si>
    <t>ООО УК Оникс</t>
  </si>
  <si>
    <t>26470527</t>
  </si>
  <si>
    <t>ООО Управляющая компания</t>
  </si>
  <si>
    <t>2503024925</t>
  </si>
  <si>
    <t>26470253</t>
  </si>
  <si>
    <t>ООО Форд-Ност</t>
  </si>
  <si>
    <t>2508056215</t>
  </si>
  <si>
    <t>27833414</t>
  </si>
  <si>
    <t>ООО Центр</t>
  </si>
  <si>
    <t>2526007242</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</si>
  <si>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</si>
  <si>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</si>
  <si>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</si>
  <si>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</si>
  <si>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</si>
  <si>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</si>
  <si>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</si>
  <si>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</si>
  <si>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</si>
  <si>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</si>
  <si>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</si>
  <si>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</si>
  <si>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26771752</t>
  </si>
  <si>
    <t>ТСЖ "Радист"</t>
  </si>
  <si>
    <t>2521000691</t>
  </si>
  <si>
    <t>26470365</t>
  </si>
  <si>
    <t>ТСЖ Многоудобненское</t>
  </si>
  <si>
    <t>2503023791</t>
  </si>
  <si>
    <t>26470281</t>
  </si>
  <si>
    <t>ТСЖ Шкотовское</t>
  </si>
  <si>
    <t>2503026376</t>
  </si>
  <si>
    <t>07-11-2017 00:00:00</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</si>
  <si>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</si>
  <si>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</si>
  <si>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</si>
  <si>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</si>
  <si>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</si>
  <si>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</si>
  <si>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</si>
  <si>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</si>
  <si>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</si>
  <si>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</si>
  <si>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</si>
  <si>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</si>
  <si>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</si>
  <si>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</si>
  <si>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</si>
  <si>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27572708</t>
  </si>
  <si>
    <t>Филиал "Уссурийский" АО "Славянка"</t>
  </si>
  <si>
    <t>10-02-2021 00:00:00</t>
  </si>
  <si>
    <t>27320095</t>
  </si>
  <si>
    <t>Филиал Владивостокский ОАО "Славянка"</t>
  </si>
  <si>
    <t>254043001</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</si>
  <si>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</si>
  <si>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</si>
  <si>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</si>
  <si>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</si>
  <si>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</si>
  <si>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</si>
  <si>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</si>
  <si>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</si>
  <si>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</si>
  <si>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</si>
  <si>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28094818</t>
  </si>
  <si>
    <t>муп Водоканал</t>
  </si>
  <si>
    <t>2530008168</t>
  </si>
  <si>
    <t>14-12-2017 00:00:00</t>
  </si>
  <si>
    <t>28090338</t>
  </si>
  <si>
    <t>муп Исток</t>
  </si>
  <si>
    <t>2531011879</t>
  </si>
  <si>
    <t>28-05-2019 00:00:00</t>
  </si>
  <si>
    <t>28086468</t>
  </si>
  <si>
    <t>муп Одиссей</t>
  </si>
  <si>
    <t>2507006973</t>
  </si>
  <si>
    <t>28151754</t>
  </si>
  <si>
    <t>ооо "Водоснабжение"</t>
  </si>
  <si>
    <t>2536228466</t>
  </si>
  <si>
    <t>28460527</t>
  </si>
  <si>
    <t>ооо "Исток"</t>
  </si>
  <si>
    <t>2503029930</t>
  </si>
  <si>
    <t>04-06-2018 00:00:00</t>
  </si>
  <si>
    <t>28444464</t>
  </si>
  <si>
    <t>ооо "Магистраль"</t>
  </si>
  <si>
    <t>2503031129</t>
  </si>
  <si>
    <t>01-04-2019 00:00:00</t>
  </si>
  <si>
    <t>28142080</t>
  </si>
  <si>
    <t>ооо "Теплосетевая компания"</t>
  </si>
  <si>
    <t>2509063705</t>
  </si>
  <si>
    <t>27833371</t>
  </si>
  <si>
    <t>ооо Амарант Сервис 5</t>
  </si>
  <si>
    <t>2508082832</t>
  </si>
  <si>
    <t>01-03-2019 00:00:00</t>
  </si>
  <si>
    <t>27872682</t>
  </si>
  <si>
    <t>ооо Водозабор Хмыловский</t>
  </si>
  <si>
    <t>2508074983</t>
  </si>
  <si>
    <t>27886628</t>
  </si>
  <si>
    <t>ооо Водоканал</t>
  </si>
  <si>
    <t>2530008023</t>
  </si>
  <si>
    <t>28274832</t>
  </si>
  <si>
    <t>ооо Водоканал Плюс</t>
  </si>
  <si>
    <t>2530008305</t>
  </si>
  <si>
    <t>28427639</t>
  </si>
  <si>
    <t>ооо Жилищная компания</t>
  </si>
  <si>
    <t>2503029458</t>
  </si>
  <si>
    <t>27833305</t>
  </si>
  <si>
    <t>ооо Спектр Плюс</t>
  </si>
  <si>
    <t>2513004290</t>
  </si>
  <si>
    <t>01-06-2008 00:00:00</t>
  </si>
  <si>
    <t>26761244</t>
  </si>
  <si>
    <t>ооо ТСК</t>
  </si>
  <si>
    <t>27833425</t>
  </si>
  <si>
    <t>ооо Универсал</t>
  </si>
  <si>
    <t>2510010793</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</si>
  <si>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</si>
  <si>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</si>
  <si>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</si>
  <si>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</si>
  <si>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</si>
  <si>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</si>
  <si>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</si>
  <si>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</si>
  <si>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</si>
  <si>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</si>
  <si>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</si>
  <si>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</si>
  <si>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</si>
  <si>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</si>
  <si>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</si>
  <si>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</si>
  <si>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26771706</t>
  </si>
  <si>
    <t>ООО "Борк"</t>
  </si>
  <si>
    <t>2503021321</t>
  </si>
  <si>
    <t>31600947</t>
  </si>
  <si>
    <t>ООО "Водосток"</t>
  </si>
  <si>
    <t>2502067690</t>
  </si>
  <si>
    <t>31161528</t>
  </si>
  <si>
    <t>2507012825</t>
  </si>
  <si>
    <t>26544384</t>
  </si>
  <si>
    <t>ООО "Врангель Водосток"</t>
  </si>
  <si>
    <t>2508077261</t>
  </si>
  <si>
    <t>30808338</t>
  </si>
  <si>
    <t>ООО "Карго-поинт"</t>
  </si>
  <si>
    <t>2508121312</t>
  </si>
  <si>
    <t>27-03-2020 00:00:00</t>
  </si>
  <si>
    <t>28453845</t>
  </si>
  <si>
    <t>ООО "Корпорация "Зинго"</t>
  </si>
  <si>
    <t>2540070285</t>
  </si>
  <si>
    <t>30866915</t>
  </si>
  <si>
    <t>ООО "Феникс"</t>
  </si>
  <si>
    <t>2501018098</t>
  </si>
  <si>
    <t>22-12-2015 00:00:00</t>
  </si>
  <si>
    <t>27580637</t>
  </si>
  <si>
    <t>ООО "ЭКО-2006"</t>
  </si>
  <si>
    <t>2540121853</t>
  </si>
  <si>
    <t>01-01-2010 00:00:00</t>
  </si>
  <si>
    <t>31-10-2023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</si>
  <si>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</si>
  <si>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</si>
  <si>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</si>
  <si>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</si>
  <si>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</si>
  <si>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</si>
  <si>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</si>
  <si>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</si>
  <si>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</si>
  <si>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</si>
  <si>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</si>
  <si>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</si>
  <si>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</si>
  <si>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</si>
  <si>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</si>
  <si>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</si>
  <si>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</si>
  <si>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</si>
  <si>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</si>
  <si>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</si>
  <si>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</si>
  <si>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</si>
  <si>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</si>
  <si>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</si>
  <si>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</si>
  <si>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</si>
  <si>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</si>
  <si>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</si>
  <si>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</si>
  <si>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</si>
  <si>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</si>
  <si>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</si>
  <si>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</si>
  <si>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</si>
  <si>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</si>
  <si>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</si>
  <si>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</si>
  <si>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</si>
  <si>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</si>
  <si>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</si>
  <si>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</si>
  <si>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</si>
  <si>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</si>
  <si>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</si>
  <si>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</si>
  <si>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</si>
  <si>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</si>
  <si>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</si>
  <si>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</si>
  <si>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</si>
  <si>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</si>
  <si>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</si>
  <si>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</si>
  <si>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</si>
  <si>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</si>
  <si>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</si>
  <si>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</si>
  <si>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</si>
  <si>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</si>
  <si>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</si>
  <si>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</si>
  <si>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</si>
  <si>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</si>
  <si>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</si>
  <si>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</si>
  <si>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</si>
  <si>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</si>
  <si>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</si>
  <si>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</si>
  <si>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</si>
  <si>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</si>
  <si>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</si>
  <si>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</si>
  <si>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</si>
  <si>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</si>
  <si>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</si>
  <si>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</si>
  <si>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</si>
  <si>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</si>
  <si>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</si>
  <si>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</si>
  <si>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</si>
  <si>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</si>
  <si>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</si>
  <si>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</si>
  <si>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</si>
  <si>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</si>
  <si>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</si>
  <si>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</si>
  <si>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</si>
  <si>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</si>
  <si>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</si>
  <si>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</si>
  <si>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</si>
  <si>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</si>
  <si>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</si>
  <si>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</si>
  <si>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</si>
  <si>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</si>
  <si>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</si>
  <si>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</si>
  <si>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</si>
  <si>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</si>
  <si>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</si>
  <si>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</si>
  <si>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</si>
  <si>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</si>
  <si>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</si>
  <si>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</si>
  <si>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28269798</t>
  </si>
  <si>
    <t>ООО "Эко Пост"</t>
  </si>
  <si>
    <t>2524810101</t>
  </si>
  <si>
    <t>17-11-2023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</si>
  <si>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</si>
  <si>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</si>
  <si>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</si>
  <si>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</si>
  <si>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</si>
  <si>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</si>
  <si>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</si>
  <si>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</si>
  <si>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</si>
  <si>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</si>
  <si>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</si>
  <si>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</si>
  <si>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</si>
  <si>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</si>
  <si>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</si>
  <si>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</si>
  <si>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</si>
  <si>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</si>
  <si>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</si>
  <si>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</si>
  <si>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</si>
  <si>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</si>
  <si>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</si>
  <si>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</si>
  <si>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</si>
  <si>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</si>
  <si>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</si>
  <si>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</si>
  <si>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</si>
  <si>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</si>
  <si>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</si>
  <si>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</si>
  <si>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</si>
  <si>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</si>
  <si>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</si>
  <si>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</si>
  <si>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</si>
  <si>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</si>
  <si>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</si>
  <si>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</si>
  <si>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</si>
  <si>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</si>
  <si>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</si>
  <si>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</si>
  <si>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</si>
  <si>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</si>
  <si>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</si>
  <si>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</si>
  <si>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</si>
  <si>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</si>
  <si>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</si>
  <si>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</si>
  <si>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</si>
  <si>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</si>
  <si>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Дальнегорский городской округ</t>
  </si>
  <si>
    <t>05707000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</si>
  <si>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</si>
  <si>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</si>
  <si>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</si>
  <si>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</si>
  <si>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</si>
  <si>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</si>
  <si>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</si>
  <si>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</si>
  <si>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</si>
  <si>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</si>
  <si>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</si>
  <si>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</si>
  <si>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</si>
  <si>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</si>
  <si>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</si>
  <si>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</si>
  <si>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</si>
  <si>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</si>
  <si>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</si>
  <si>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</si>
  <si>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</si>
  <si>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05612000</t>
  </si>
  <si>
    <t>Горненское</t>
  </si>
  <si>
    <t>05612407</t>
  </si>
  <si>
    <t>Горноключевское городское поселение</t>
  </si>
  <si>
    <t>05612154</t>
  </si>
  <si>
    <t>городское поселение, в состав которого входит поселок</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</si>
  <si>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</si>
  <si>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</si>
  <si>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</si>
  <si>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</si>
  <si>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</si>
  <si>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</si>
  <si>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</si>
  <si>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</si>
  <si>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</si>
  <si>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</si>
  <si>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</si>
  <si>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</si>
  <si>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</si>
  <si>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</si>
  <si>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</si>
  <si>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</si>
  <si>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</si>
  <si>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</si>
  <si>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</si>
  <si>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</si>
  <si>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</si>
  <si>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</si>
  <si>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</si>
  <si>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</si>
  <si>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</si>
  <si>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</si>
  <si>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</si>
  <si>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</si>
  <si>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</si>
  <si>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</si>
  <si>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</si>
  <si>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</si>
  <si>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</si>
  <si>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</si>
  <si>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</si>
  <si>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</si>
  <si>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</si>
  <si>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</si>
  <si>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</si>
  <si>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</si>
  <si>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</si>
  <si>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</si>
  <si>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</si>
  <si>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</si>
  <si>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</si>
  <si>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</si>
  <si>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</si>
  <si>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</si>
  <si>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</si>
  <si>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</si>
  <si>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</si>
  <si>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</si>
  <si>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</si>
  <si>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</si>
  <si>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</si>
  <si>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</si>
  <si>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</si>
  <si>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</si>
  <si>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</si>
  <si>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</si>
  <si>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</si>
  <si>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</si>
  <si>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</si>
  <si>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</si>
  <si>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05630000</t>
  </si>
  <si>
    <t>Владимиро-Александровское сельское поселение</t>
  </si>
  <si>
    <t>05630402</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</si>
  <si>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</si>
  <si>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</si>
  <si>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</si>
  <si>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</si>
  <si>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</si>
  <si>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</si>
  <si>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</si>
  <si>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</si>
  <si>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</si>
  <si>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</si>
  <si>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</si>
  <si>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</si>
  <si>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</si>
  <si>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</si>
  <si>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</si>
  <si>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</si>
  <si>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</si>
  <si>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</si>
  <si>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</si>
  <si>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</si>
  <si>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</si>
  <si>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</si>
  <si>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</si>
  <si>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</si>
  <si>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</si>
  <si>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</si>
  <si>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</si>
  <si>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</si>
  <si>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</si>
  <si>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</si>
  <si>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</si>
  <si>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</si>
  <si>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</si>
  <si>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</si>
  <si>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</si>
  <si>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</si>
  <si>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</si>
  <si>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</si>
  <si>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</si>
  <si>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</si>
  <si>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</si>
  <si>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</si>
  <si>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</si>
  <si>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</si>
  <si>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</si>
  <si>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</si>
  <si>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</si>
  <si>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</si>
  <si>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</si>
  <si>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</si>
  <si>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</si>
  <si>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Хорольский муниципальный округ</t>
  </si>
  <si>
    <t>05550000</t>
  </si>
  <si>
    <t>79</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</si>
  <si>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</si>
  <si>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</si>
  <si>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</si>
  <si>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</si>
  <si>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</si>
  <si>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</si>
  <si>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</si>
  <si>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</si>
  <si>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</si>
  <si>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</si>
  <si>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Снегуровское</t>
  </si>
  <si>
    <t>05653419</t>
  </si>
  <si>
    <t>85</t>
  </si>
  <si>
    <t>86</t>
  </si>
  <si>
    <t>Черниговское сельское поселение</t>
  </si>
  <si>
    <t>05653425</t>
  </si>
  <si>
    <t>87</t>
  </si>
  <si>
    <t>Шкотовский муниципальный округ</t>
  </si>
  <si>
    <t>05557000</t>
  </si>
  <si>
    <t>89</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</si>
  <si>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</si>
  <si>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</si>
  <si>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</si>
  <si>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</si>
  <si>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</si>
  <si>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</si>
  <si>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</si>
  <si>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</si>
  <si>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</si>
  <si>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</si>
  <si>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</si>
  <si>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</si>
  <si>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</si>
  <si>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</si>
  <si>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</si>
  <si>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</si>
  <si>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</si>
  <si>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</si>
  <si>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</si>
  <si>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</si>
  <si>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</si>
  <si>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</si>
  <si>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</si>
  <si>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</si>
  <si>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</si>
  <si>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</si>
  <si>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</si>
  <si>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</si>
  <si>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</si>
  <si>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</si>
  <si>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</si>
  <si>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</si>
  <si>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</si>
  <si>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</si>
  <si>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</si>
  <si>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</si>
  <si>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</si>
  <si>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</si>
  <si>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</si>
  <si>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</si>
  <si>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</si>
  <si>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</si>
  <si>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</si>
  <si>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</si>
  <si>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</si>
  <si>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</si>
  <si>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</si>
  <si>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</si>
  <si>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</si>
  <si>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</si>
  <si>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</si>
  <si>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</si>
  <si>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</si>
  <si>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</si>
  <si>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</si>
  <si>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</si>
  <si>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</si>
  <si>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</si>
  <si>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</si>
  <si>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</si>
  <si>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</si>
  <si>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</si>
  <si>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</si>
  <si>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</si>
  <si>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</si>
  <si>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</si>
  <si>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</si>
  <si>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</si>
  <si>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Территория 12</t>
  </si>
  <si>
    <t>Территория 13</t>
  </si>
  <si>
    <t>Территория 14</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</si>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</sst>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_(* (#,##0);_(* &quot;-&quot;_);_(@_)"/>
    <numFmt numFmtId="43" formatCode="_(* #,##0.00_);_(* (#,##0.00);_(* &quot;-&quot;??_);_(@_)"/>
    <numFmt numFmtId="44" formatCode="_(&quot;$&quot;* #,##0.00_);_(&quot;$&quot;* (#,##0.00);_(&quot;$&quot;* &quot;-&quot;??_);_(@_)"/>
    <numFmt numFmtId="164" formatCode="#,##0.000"/>
    <numFmt numFmtId="165" formatCode="000000"/>
    <numFmt numFmtId="166" formatCode="#,##0.0000"/>
    <numFmt numFmtId="167" formatCode="dd\.mm\.yyyy"/>
    <numFmt numFmtId="168" formatCode="h:mm;@"/>
    <numFmt numFmtId="169" formatCode="&quot;$&quot;#,##0_);[Red]\(&quot;$&quot;#,##0\)"/>
    <numFmt numFmtId="170" formatCode="_-* #,##0.00[$€-1]_-;\-* #,##0.00[$€-1]_-;_-* &quot;-&quot;??[$€-1]_-"/>
    <numFmt numFmtId="171" formatCode="#,##0.0"/>
  </numFmts>
  <fonts count="130">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000080"/>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color auto="1"/>
      <name val="Franklin Gothic Medium"/>
    </font>
    <font>
      <b/>
      <sz val="9"/>
      <color auto="1"/>
      <name val="Tahoma"/>
    </font>
    <font>
      <sz val="11"/>
      <color rgb="FF000000"/>
      <name val="Calibri"/>
    </font>
    <font>
      <sz val="10"/>
      <color auto="1"/>
      <name val="Arial Cyr"/>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auto="1"/>
      <name val="Tahoma"/>
    </font>
    <font>
      <u/>
      <sz val="9"/>
      <color theme="10"/>
      <name val="Tahoma"/>
    </font>
  </fonts>
  <fills count="57">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C0"/>
      </patternFill>
    </fill>
    <fill>
      <patternFill patternType="solid">
        <fgColor rgb="FFC0C0C0"/>
      </patternFill>
    </fill>
    <fill>
      <patternFill patternType="solid">
        <fgColor rgb="FFBCBCBC"/>
      </patternFill>
    </fill>
    <fill>
      <patternFill patternType="solid">
        <fgColor rgb="FF000000"/>
      </patternFill>
    </fill>
    <fill>
      <patternFill patternType="solid">
        <fgColor rgb="FFFFFFFF"/>
      </patternFill>
    </fill>
    <fill>
      <patternFill patternType="solid">
        <fgColor rgb="FFD7EAD3"/>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BCBCBC"/>
      </left>
      <right style="thin">
        <color rgb="FFBCBCBC"/>
      </right>
      <top style="thin">
        <color rgb="FFBCBCBC"/>
      </top>
      <bottom style="thin">
        <color rgb="FFBCBCBC"/>
      </bottom>
    </border>
    <border>
      <left style="thick">
        <color rgb="FFBCBCBC"/>
      </left>
      <right style="thick">
        <color rgb="FFBCBCBC"/>
      </right>
      <top style="thick">
        <color rgb="FFBCBCBC"/>
      </top>
      <bottom style="thick">
        <color rgb="FFBCBCBC"/>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79">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16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0" fontId="20" fillId="0" borderId="0" applyFont="1" applyFill="0" applyBorder="0" applyNumberFormat="1"/>
    <xf numFmtId="38" fontId="21" fillId="0" borderId="0" applyFont="1" applyFill="0" applyBorder="0" applyNumberFormat="1">
      <alignment vertical="top"/>
    </xf>
    <xf numFmtId="0" fontId="22" fillId="0" borderId="10" applyFont="1" applyFill="0" applyBorder="1">
      <alignment vertical="top"/>
      <protection locked="0"/>
    </xf>
    <xf numFmtId="171" fontId="23" fillId="33" borderId="0" applyFont="1" applyFill="1" applyBorder="0" applyNumberFormat="1">
      <protection locked="0"/>
    </xf>
    <xf numFmtId="0" fontId="24" fillId="0" borderId="0" applyFont="1" applyFill="0" applyBorder="0">
      <alignment vertical="center"/>
    </xf>
    <xf numFmtId="164" fontId="23" fillId="33" borderId="0" applyFont="1" applyFill="1" applyBorder="0" applyNumberFormat="1">
      <protection locked="0"/>
    </xf>
    <xf numFmtId="166" fontId="23" fillId="33" borderId="0" applyFont="1" applyFill="1" applyBorder="0" applyNumberFormat="1">
      <protection locked="0"/>
    </xf>
    <xf numFmtId="0" fontId="25" fillId="0" borderId="0" applyFont="1" applyFill="0" applyBorder="0">
      <alignment vertical="top"/>
    </xf>
    <xf numFmtId="0" fontId="22" fillId="34" borderId="10"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29" fillId="30" borderId="10"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0" fontId="0" fillId="36" borderId="0" applyFont="1" applyFill="1" applyBorder="0">
      <alignment vertical="top"/>
    </xf>
    <xf numFmtId="0" fontId="22" fillId="0" borderId="0" applyFont="1" applyFill="0" applyBorder="0">
      <alignment wrapText="1"/>
    </xf>
    <xf numFmtId="49" fontId="23" fillId="36" borderId="0" applyFont="1" applyFill="1" applyBorder="0" applyNumberFormat="1">
      <alignment vertical="top"/>
    </xf>
    <xf numFmtId="49" fontId="0" fillId="37" borderId="0" applyFont="1" applyFill="1" applyBorder="0" applyNumberFormat="1">
      <alignment vertical="top"/>
    </xf>
  </cellStyleXfs>
  <cellXfs count="2303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16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0" fontId="20" fillId="0" borderId="0" xfId="49" applyFont="1" applyNumberFormat="1"/>
    <xf numFmtId="38" fontId="21" fillId="0" borderId="0" xfId="50" applyFont="1" applyNumberFormat="1">
      <alignment vertical="top"/>
    </xf>
    <xf numFmtId="0" fontId="22" fillId="0" borderId="10" xfId="51" applyFont="1" applyBorder="1">
      <alignment vertical="top"/>
      <protection locked="0"/>
    </xf>
    <xf numFmtId="171" fontId="23" fillId="33" borderId="0" xfId="52" applyFont="1" applyFill="1" applyNumberFormat="1">
      <protection locked="0"/>
    </xf>
    <xf numFmtId="0" fontId="24" fillId="0" borderId="0" xfId="53" applyFont="1">
      <alignment vertical="center"/>
    </xf>
    <xf numFmtId="164" fontId="23" fillId="33" borderId="0" xfId="54" applyFont="1" applyFill="1" applyNumberFormat="1">
      <protection locked="0"/>
    </xf>
    <xf numFmtId="166" fontId="23" fillId="33" borderId="0" xfId="55" applyFont="1" applyFill="1" applyNumberFormat="1">
      <protection locked="0"/>
    </xf>
    <xf numFmtId="0" fontId="25" fillId="0" borderId="0" xfId="56" applyFont="1">
      <alignment vertical="top"/>
    </xf>
    <xf numFmtId="0" fontId="22" fillId="34" borderId="10"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29" fillId="30" borderId="10" xfId="61" applyFont="1" applyFill="1" applyBorder="1">
      <alignment vertical="top"/>
    </xf>
    <xf numFmtId="0" fontId="30" fillId="0" borderId="0" xfId="62" applyFont="1">
      <alignment vertical="top"/>
    </xf>
    <xf numFmtId="0" fontId="31" fillId="0" borderId="0" xfId="63" applyFont="1">
      <alignment vertical="top"/>
    </xf>
    <xf numFmtId="0" fontId="32" fillId="0" borderId="0" xfId="64" applyFont="1">
      <alignment vertical="top"/>
    </xf>
    <xf numFmtId="0" fontId="33" fillId="0" borderId="0" xfId="65" applyFont="1">
      <alignment vertical="top"/>
    </xf>
    <xf numFmtId="0" fontId="34" fillId="0" borderId="0" xfId="66" applyFont="1">
      <alignment vertical="top"/>
    </xf>
    <xf numFmtId="0" fontId="35" fillId="0" borderId="0" xfId="67" applyFont="1">
      <alignment horizontal="center" vertical="center" wrapText="1"/>
    </xf>
    <xf numFmtId="0" fontId="36" fillId="0" borderId="0" xfId="68" applyFont="1">
      <alignment horizontal="center" vertical="center" wrapText="1"/>
    </xf>
    <xf numFmtId="4" fontId="23" fillId="33" borderId="0" xfId="69" applyFont="1" applyFill="1" applyNumberFormat="1">
      <alignment horizontal="right"/>
    </xf>
    <xf numFmtId="49" fontId="23" fillId="0" borderId="0" xfId="70" applyFont="1" applyNumberFormat="1">
      <alignment vertical="top"/>
    </xf>
    <xf numFmtId="0" fontId="1" fillId="0" borderId="0" xfId="71" applyFont="1"/>
    <xf numFmtId="0" fontId="37" fillId="0" borderId="0" xfId="72" applyFont="1"/>
    <xf numFmtId="49" fontId="0" fillId="0" borderId="0" xfId="73" applyFont="1" applyNumberFormat="1">
      <alignment vertical="top"/>
    </xf>
    <xf numFmtId="0" fontId="38" fillId="0" borderId="0" xfId="74" applyFont="1"/>
    <xf numFmtId="0" fontId="0" fillId="36" borderId="0" xfId="75" applyFont="1" applyFill="1">
      <alignment vertical="top"/>
    </xf>
    <xf numFmtId="0" fontId="22" fillId="0" borderId="0" xfId="76" applyFont="1">
      <alignment wrapText="1"/>
    </xf>
    <xf numFmtId="49" fontId="23" fillId="36" borderId="0" xfId="77" applyFont="1" applyFill="1" applyNumberFormat="1">
      <alignment vertical="top"/>
    </xf>
    <xf numFmtId="49" fontId="0" fillId="37" borderId="0" xfId="78" applyFont="1" applyFill="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9"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9"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9"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7" borderId="0" xfId="0" applyFont="1" applyFill="1" applyNumberFormat="1"/>
    <xf numFmtId="0" fontId="39"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41" fillId="37" borderId="0" xfId="0" applyFont="1" applyFill="1" applyNumberFormat="1">
      <alignment vertical="center" wrapText="1"/>
    </xf>
    <xf numFmtId="0" fontId="23" fillId="37" borderId="0" xfId="0" applyFont="1" applyFill="1" applyNumberFormat="1">
      <alignment horizontal="right" vertical="center" wrapText="1" indent="1"/>
    </xf>
    <xf numFmtId="0" fontId="23" fillId="37" borderId="0" xfId="0" applyFont="1" applyFill="1" applyNumberFormat="1">
      <alignment horizontal="center" vertical="center" wrapTex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0" fontId="23" fillId="0" borderId="0" xfId="0" applyFont="1" applyNumberFormat="1">
      <alignment vertical="center"/>
    </xf>
    <xf numFmtId="49" fontId="23" fillId="37" borderId="0" xfId="0" applyFont="1" applyFill="1" applyNumberFormat="1">
      <alignment horizontal="right" vertical="center" wrapText="1" indent="1"/>
    </xf>
    <xf numFmtId="49" fontId="41" fillId="37" borderId="0" xfId="0" applyFont="1" applyFill="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49" fontId="0" fillId="37" borderId="0" xfId="0" applyFont="1" applyFill="1" applyNumberFormat="1">
      <alignment horizontal="right" vertical="center" wrapText="1" indent="1"/>
    </xf>
    <xf numFmtId="49" fontId="43" fillId="37"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4" fillId="37" borderId="0" xfId="0" applyFont="1" applyFill="1" applyNumberFormat="1">
      <alignment horizontal="center" vertical="center" wrapText="1"/>
    </xf>
    <xf numFmtId="0" fontId="44" fillId="0" borderId="0" xfId="0" applyFont="1" applyNumberFormat="1">
      <alignment horizontal="center" vertical="center"/>
    </xf>
    <xf numFmtId="0" fontId="44" fillId="37" borderId="0" xfId="0" applyFont="1" applyFill="1" applyNumberFormat="1">
      <alignment horizontal="center" vertical="center"/>
    </xf>
    <xf numFmtId="49" fontId="45" fillId="0" borderId="10" xfId="0" applyFont="1" applyBorder="1" applyNumberFormat="1">
      <alignment vertical="top" wrapText="1"/>
    </xf>
    <xf numFmtId="0" fontId="0" fillId="0" borderId="10" xfId="0" applyFont="1" applyBorder="1" applyNumberFormat="1">
      <alignment vertical="top" wrapText="1"/>
    </xf>
    <xf numFmtId="0" fontId="38" fillId="0" borderId="0" xfId="0" applyFont="1" applyNumberFormat="1"/>
    <xf numFmtId="0" fontId="23" fillId="37" borderId="0" xfId="0" applyFont="1" applyFill="1" applyNumberFormat="1">
      <alignment horizontal="center" vertical="center" wrapText="1"/>
    </xf>
    <xf numFmtId="0" fontId="46" fillId="37" borderId="0" xfId="0" applyFont="1" applyFill="1" applyNumberFormat="1">
      <alignment vertical="center" wrapText="1"/>
    </xf>
    <xf numFmtId="0" fontId="46" fillId="0" borderId="0" xfId="0" applyFont="1" applyNumberFormat="1">
      <alignment vertical="center" wrapText="1"/>
    </xf>
    <xf numFmtId="0" fontId="39" fillId="0" borderId="0" xfId="0" applyFont="1" applyNumberFormat="1">
      <alignment horizontal="left" vertical="center" wrapText="1"/>
    </xf>
    <xf numFmtId="49" fontId="39" fillId="0" borderId="0" xfId="0" applyFont="1" applyNumberFormat="1">
      <alignment horizontal="left" vertical="center" wrapText="1"/>
    </xf>
    <xf numFmtId="0" fontId="0" fillId="0" borderId="0" xfId="0" applyFont="1" applyNumberFormat="1">
      <alignmen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7" borderId="13" xfId="0" applyFont="1" applyFill="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47" fillId="39" borderId="14" xfId="0" applyFont="1" applyFill="1" applyBorder="1" applyNumberFormat="1">
      <alignment horizontal="left" vertical="center"/>
    </xf>
    <xf numFmtId="0" fontId="0" fillId="0" borderId="13"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3" xfId="0" applyFont="1" applyBorder="1" applyNumberFormat="1">
      <alignment horizontal="center" vertical="center" wrapText="1"/>
    </xf>
    <xf numFmtId="0" fontId="48" fillId="0" borderId="0" xfId="0" applyFont="1" applyNumberFormat="1">
      <alignment vertical="center"/>
    </xf>
    <xf numFmtId="49" fontId="23" fillId="0" borderId="13" xfId="0" applyFont="1" applyBorder="1" applyNumberFormat="1">
      <alignment horizontal="center" vertical="center" wrapText="1"/>
    </xf>
    <xf numFmtId="0" fontId="23" fillId="37" borderId="13" xfId="0" applyFont="1" applyFill="1" applyBorder="1" applyNumberFormat="1">
      <alignment horizontal="center" vertical="center"/>
    </xf>
    <xf numFmtId="49" fontId="23" fillId="33" borderId="13" xfId="0" applyFont="1" applyFill="1" applyBorder="1" applyNumberFormat="1">
      <alignment horizontal="left" vertical="center" wrapText="1"/>
      <protection locked="0"/>
    </xf>
    <xf numFmtId="0" fontId="39" fillId="0" borderId="0" xfId="0" applyFont="1" applyNumberFormat="1">
      <alignment vertical="center" wrapText="1"/>
    </xf>
    <xf numFmtId="0" fontId="49" fillId="0" borderId="0" xfId="0" applyFont="1" applyNumberFormat="1">
      <alignment vertical="center" wrapText="1"/>
    </xf>
    <xf numFmtId="49" fontId="23" fillId="0" borderId="0" xfId="0" applyFont="1" applyNumberFormat="1">
      <alignment vertical="top"/>
    </xf>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23" fillId="37" borderId="0" xfId="0" applyFont="1" applyFill="1" applyNumberFormat="1"/>
    <xf numFmtId="0" fontId="50" fillId="37" borderId="0" xfId="0" applyFont="1" applyFill="1" applyNumberFormat="1">
      <alignment horizontal="center" vertical="center" wrapText="1"/>
    </xf>
    <xf numFmtId="0" fontId="39" fillId="37" borderId="0" xfId="0" applyFont="1" applyFill="1" applyNumberFormat="1"/>
    <xf numFmtId="49" fontId="23" fillId="0" borderId="0" xfId="0" applyFont="1" applyNumberFormat="1">
      <alignment vertical="top"/>
    </xf>
    <xf numFmtId="49" fontId="44" fillId="0" borderId="0" xfId="0" applyFont="1" applyNumberFormat="1">
      <alignment horizontal="center" vertical="center" wrapText="1"/>
    </xf>
    <xf numFmtId="0" fontId="23"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51" fillId="39" borderId="16" xfId="0" applyFont="1" applyFill="1" applyBorder="1" applyNumberFormat="1">
      <alignment horizontal="center" vertical="top"/>
    </xf>
    <xf numFmtId="49" fontId="47" fillId="39" borderId="16" xfId="0" applyFont="1" applyFill="1" applyBorder="1" applyNumberFormat="1">
      <alignment horizontal="left" vertical="center"/>
    </xf>
    <xf numFmtId="49" fontId="23" fillId="0" borderId="0" xfId="0" applyFont="1" applyNumberFormat="1">
      <alignment horizontal="center" vertical="top"/>
    </xf>
    <xf numFmtId="0" fontId="48" fillId="0" borderId="0" xfId="0" applyFont="1" applyNumberFormat="1">
      <alignment vertical="center"/>
    </xf>
    <xf numFmtId="0" fontId="0"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vertical="center" wrapText="1"/>
    </xf>
    <xf numFmtId="0" fontId="44" fillId="37" borderId="0" xfId="0" applyFont="1" applyFill="1" applyNumberFormat="1">
      <alignment horizontal="center" vertical="center" wrapText="1"/>
    </xf>
    <xf numFmtId="49" fontId="52" fillId="0" borderId="0" xfId="0" applyFont="1" applyNumberFormat="1">
      <alignment horizontal="right" vertical="top"/>
    </xf>
    <xf numFmtId="49" fontId="52"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7" xfId="0" applyFont="1" applyBorder="1" applyNumberFormat="1">
      <alignment vertical="top"/>
    </xf>
    <xf numFmtId="0" fontId="38" fillId="0" borderId="0" xfId="0" applyFont="1" applyNumberFormat="1"/>
    <xf numFmtId="49" fontId="53" fillId="0" borderId="0" xfId="0" applyFont="1" applyNumberFormat="1">
      <alignment vertical="top"/>
    </xf>
    <xf numFmtId="0" fontId="53" fillId="0" borderId="0" xfId="0" applyFont="1" applyNumberFormat="1">
      <alignment vertical="center" wrapText="1"/>
    </xf>
    <xf numFmtId="49" fontId="0" fillId="37" borderId="13" xfId="0" applyFont="1" applyFill="1" applyBorder="1" applyNumberFormat="1">
      <alignment horizontal="center" vertical="center" wrapText="1"/>
    </xf>
    <xf numFmtId="0" fontId="39" fillId="0" borderId="0" xfId="0" applyFont="1" applyNumberFormat="1">
      <alignment horizontal="left" vertical="center" wrapText="1"/>
    </xf>
    <xf numFmtId="49" fontId="23" fillId="0" borderId="13" xfId="0" applyFont="1" applyBorder="1" applyNumberFormat="1">
      <alignment horizontal="left" vertical="center" wrapText="1"/>
    </xf>
    <xf numFmtId="0" fontId="23" fillId="37" borderId="18" xfId="0" applyFont="1" applyFill="1" applyBorder="1" applyNumberFormat="1">
      <alignment horizontal="center" vertical="center"/>
    </xf>
    <xf numFmtId="0" fontId="23" fillId="0" borderId="13" xfId="0" applyFont="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xf>
    <xf numFmtId="0" fontId="55" fillId="0" borderId="0" xfId="0" applyFont="1" applyNumberFormat="1">
      <alignment vertical="center"/>
    </xf>
    <xf numFmtId="0" fontId="54"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top" wrapText="1"/>
    </xf>
    <xf numFmtId="49" fontId="23" fillId="0" borderId="13" xfId="0" applyFont="1" applyBorder="1" applyNumberFormat="1">
      <alignment horizontal="center" vertical="center" wrapText="1"/>
    </xf>
    <xf numFmtId="0" fontId="22" fillId="0" borderId="19" xfId="0" applyFont="1" applyBorder="1" applyNumberFormat="1">
      <alignment vertical="top" wrapText="1"/>
    </xf>
    <xf numFmtId="49" fontId="0" fillId="0" borderId="13" xfId="0" applyFont="1" applyBorder="1" applyNumberFormat="1">
      <alignment vertical="top" wrapText="1"/>
    </xf>
    <xf numFmtId="0" fontId="0" fillId="0" borderId="13" xfId="0" applyFont="1" applyBorder="1" applyNumberFormat="1">
      <alignment vertical="top" wrapText="1"/>
    </xf>
    <xf numFmtId="0" fontId="1" fillId="0" borderId="0" xfId="0" applyFont="1" applyNumberFormat="1"/>
    <xf numFmtId="0" fontId="0" fillId="0" borderId="0" xfId="0" applyFont="1" applyNumberFormat="1"/>
    <xf numFmtId="0" fontId="44" fillId="0" borderId="0" xfId="0" applyFont="1" applyNumberFormat="1">
      <alignment horizontal="center" vertical="center" wrapText="1"/>
    </xf>
    <xf numFmtId="0" fontId="44"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3" fillId="0" borderId="0" xfId="0" applyFont="1" applyNumberFormat="1">
      <alignment vertical="center"/>
    </xf>
    <xf numFmtId="165" fontId="23" fillId="0" borderId="13" xfId="0" applyFont="1" applyBorder="1" applyNumberFormat="1">
      <alignment horizontal="center" vertical="center" wrapText="1"/>
    </xf>
    <xf numFmtId="49" fontId="53" fillId="39" borderId="20" xfId="0" applyFont="1" applyFill="1" applyBorder="1" applyNumberFormat="1">
      <alignment horizontal="left" vertical="center" wrapText="1"/>
    </xf>
    <xf numFmtId="49" fontId="0" fillId="39" borderId="16" xfId="0" applyFont="1" applyFill="1" applyBorder="1" applyNumberFormat="1">
      <alignment horizontal="left" vertical="center"/>
    </xf>
    <xf numFmtId="49" fontId="53" fillId="39" borderId="21" xfId="0" applyFont="1" applyFill="1" applyBorder="1" applyNumberFormat="1">
      <alignment horizontal="left" vertical="center" wrapText="1"/>
    </xf>
    <xf numFmtId="0" fontId="43" fillId="0" borderId="0" xfId="0" applyFont="1" applyNumberFormat="1">
      <alignment horizontal="center" vertical="center" wrapText="1"/>
    </xf>
    <xf numFmtId="49" fontId="36" fillId="39" borderId="16"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23" fillId="39" borderId="14" xfId="0" applyFont="1" applyFill="1" applyBorder="1" applyNumberFormat="1">
      <alignment horizontal="right" vertical="center" wrapText="1"/>
    </xf>
    <xf numFmtId="0" fontId="23" fillId="0" borderId="22" xfId="0" applyFont="1" applyBorder="1" applyNumberFormat="1">
      <alignment vertical="center" wrapText="1"/>
    </xf>
    <xf numFmtId="0" fontId="52" fillId="0" borderId="0" xfId="0" applyFont="1" applyNumberFormat="1">
      <alignment vertical="center" wrapText="1"/>
    </xf>
    <xf numFmtId="0" fontId="56" fillId="0" borderId="0" xfId="0" applyFont="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53" fillId="0" borderId="0" xfId="0" applyFont="1" applyNumberFormat="1">
      <alignment vertical="center"/>
    </xf>
    <xf numFmtId="49" fontId="0" fillId="39" borderId="16" xfId="0" applyFont="1" applyFill="1" applyBorder="1" applyNumberFormat="1">
      <alignment horizontal="right" vertical="center" wrapText="1"/>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23" fillId="0" borderId="0" xfId="0" applyFont="1" applyNumberFormat="1">
      <alignment vertical="top"/>
    </xf>
    <xf numFmtId="0" fontId="23" fillId="37" borderId="0" xfId="0" applyFont="1" applyFill="1" applyNumberFormat="1">
      <alignment horizontal="right" vertical="center"/>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54" fillId="0" borderId="0" xfId="0" applyFont="1" applyNumberFormat="1">
      <alignment vertical="top"/>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0" fillId="41" borderId="13" xfId="0" applyFont="1" applyFill="1" applyBorder="1" applyNumberFormat="1">
      <alignment horizontal="left" vertical="center" wrapText="1" indent="1"/>
      <protection locked="0"/>
    </xf>
    <xf numFmtId="49" fontId="47" fillId="39" borderId="16" xfId="0" applyFont="1" applyFill="1" applyBorder="1" applyNumberFormat="1">
      <alignment horizontal="left" vertical="center" indent="3"/>
    </xf>
    <xf numFmtId="49" fontId="51" fillId="39" borderId="14" xfId="0" applyFont="1" applyFill="1" applyBorder="1" applyNumberFormat="1">
      <alignment horizontal="center" vertical="top"/>
    </xf>
    <xf numFmtId="0" fontId="22" fillId="0" borderId="0" xfId="0" applyFont="1" applyNumberFormat="1">
      <alignment horizontal="right" vertical="top" wrapText="1"/>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23" fillId="0" borderId="13" xfId="0" applyFont="1" applyBorder="1" applyNumberFormat="1">
      <alignment vertical="top" wrapText="1"/>
    </xf>
    <xf numFmtId="0" fontId="44" fillId="0" borderId="0" xfId="0" applyFont="1" applyNumberFormat="1">
      <alignment horizontal="center" vertical="center" wrapText="1"/>
    </xf>
    <xf numFmtId="49" fontId="0" fillId="0" borderId="18" xfId="0" applyFont="1" applyBorder="1" applyNumberFormat="1">
      <alignment vertical="top"/>
    </xf>
    <xf numFmtId="0" fontId="54" fillId="0" borderId="0" xfId="0" applyFont="1" applyNumberFormat="1">
      <alignment vertical="center"/>
    </xf>
    <xf numFmtId="0" fontId="37" fillId="0" borderId="0" xfId="0" applyFont="1" applyNumberFormat="1">
      <alignment vertical="center"/>
    </xf>
    <xf numFmtId="49" fontId="34" fillId="41" borderId="13" xfId="0" applyFont="1" applyFill="1" applyBorder="1" applyNumberFormat="1">
      <alignment horizontal="left" vertical="center" wrapText="1"/>
      <protection locked="0"/>
    </xf>
    <xf numFmtId="49" fontId="51" fillId="39" borderId="14" xfId="0" applyFont="1" applyFill="1" applyBorder="1" applyNumberFormat="1">
      <alignment horizontal="center" vertical="top"/>
    </xf>
    <xf numFmtId="0" fontId="0" fillId="38" borderId="13" xfId="0" applyFont="1" applyFill="1" applyBorder="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23" fillId="38" borderId="13" xfId="0" applyFont="1" applyFill="1" applyBorder="1" applyNumberFormat="1">
      <alignment horizontal="left" vertical="center" wrapText="1" indent="1"/>
    </xf>
    <xf numFmtId="49" fontId="23" fillId="0" borderId="13" xfId="0" applyFont="1" applyBorder="1" applyNumberFormat="1">
      <alignment horizontal="left" vertical="center" wrapText="1" indent="1"/>
    </xf>
    <xf numFmtId="0" fontId="23" fillId="0" borderId="13" xfId="0" applyFont="1" applyBorder="1" applyNumberFormat="1">
      <alignment horizontal="center" vertical="center" wrapText="1"/>
    </xf>
    <xf numFmtId="0" fontId="22" fillId="0" borderId="0" xfId="0" applyFont="1" applyNumberFormat="1">
      <alignment vertical="center" wrapText="1"/>
    </xf>
    <xf numFmtId="0" fontId="54" fillId="0" borderId="0" xfId="0" applyFont="1" applyNumberFormat="1">
      <alignment horizontal="center" vertical="center" wrapText="1"/>
    </xf>
    <xf numFmtId="0" fontId="0" fillId="0" borderId="13" xfId="0" applyFont="1" applyBorder="1" applyNumberFormat="1">
      <alignment horizontal="left" vertical="center" wrapText="1"/>
    </xf>
    <xf numFmtId="49" fontId="43" fillId="0" borderId="16" xfId="0" applyFont="1" applyBorder="1" applyNumberFormat="1">
      <alignment horizontal="center" vertical="center" wrapText="1"/>
    </xf>
    <xf numFmtId="0" fontId="58" fillId="0" borderId="0" xfId="0" applyFont="1" applyNumberFormat="1">
      <alignment vertical="center"/>
    </xf>
    <xf numFmtId="0" fontId="59"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60"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64"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67" fillId="0" borderId="0" xfId="0" applyFont="1" applyNumberFormat="1">
      <alignment horizontal="left" vertical="center" wrapText="1"/>
    </xf>
    <xf numFmtId="0" fontId="67"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4" fillId="0" borderId="0" xfId="0" applyFont="1" applyNumberFormat="1">
      <alignment horizontal="left" vertical="center" indent="1"/>
    </xf>
    <xf numFmtId="0" fontId="54" fillId="0" borderId="0" xfId="0" applyFont="1" applyNumberFormat="1">
      <alignment horizontal="left" vertical="center" indent="1"/>
    </xf>
    <xf numFmtId="0" fontId="54" fillId="0" borderId="23" xfId="0" applyFont="1" applyBorder="1" applyNumberFormat="1">
      <alignment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3" xfId="0" applyFont="1" applyBorder="1" applyNumberFormat="1">
      <alignment vertical="top" wrapText="1"/>
    </xf>
    <xf numFmtId="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9" fontId="23" fillId="0" borderId="18" xfId="0" applyFont="1" applyBorder="1" applyNumberFormat="1">
      <alignment horizontal="left" vertical="center" wrapText="1"/>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0" fontId="23" fillId="0" borderId="0" xfId="0" applyFont="1" applyNumberFormat="1"/>
    <xf numFmtId="0" fontId="68" fillId="0" borderId="0" xfId="0" applyFont="1" applyNumberFormat="1">
      <alignment vertical="center" wrapText="1"/>
    </xf>
    <xf numFmtId="0" fontId="68" fillId="0" borderId="0" xfId="0" applyFont="1" applyNumberFormat="1">
      <alignment vertical="center" wrapText="1"/>
    </xf>
    <xf numFmtId="0" fontId="68" fillId="0" borderId="0" xfId="0" applyFont="1" applyNumberFormat="1"/>
    <xf numFmtId="49" fontId="69" fillId="0" borderId="0" xfId="0" applyFont="1" applyNumberFormat="1">
      <alignment vertical="top"/>
    </xf>
    <xf numFmtId="49" fontId="70" fillId="0" borderId="0" xfId="0" applyFont="1" applyNumberFormat="1">
      <alignment vertical="top"/>
    </xf>
    <xf numFmtId="0" fontId="23"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54"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23" fillId="0" borderId="13" xfId="0" applyFont="1" applyBorder="1" applyNumberFormat="1">
      <alignment horizontal="right" vertical="center"/>
    </xf>
    <xf numFmtId="0" fontId="71" fillId="0" borderId="0" xfId="0" applyFont="1" applyNumberFormat="1">
      <alignment vertical="center"/>
    </xf>
    <xf numFmtId="0" fontId="54" fillId="0" borderId="0" xfId="0" applyFont="1" applyNumberFormat="1">
      <alignment vertical="center"/>
    </xf>
    <xf numFmtId="0" fontId="54" fillId="0" borderId="0" xfId="0" applyFont="1" applyNumberFormat="1">
      <alignment vertical="center" wrapText="1"/>
    </xf>
    <xf numFmtId="0" fontId="23" fillId="0" borderId="13" xfId="0" applyFont="1" applyBorder="1" applyNumberFormat="1">
      <alignment horizontal="left" vertical="center" wrapText="1"/>
    </xf>
    <xf numFmtId="0" fontId="72" fillId="0" borderId="0" xfId="0" applyFont="1" applyNumberFormat="1">
      <alignment vertical="center"/>
    </xf>
    <xf numFmtId="49" fontId="43" fillId="37" borderId="0" xfId="0" applyFont="1" applyFill="1" applyNumberFormat="1">
      <alignment horizontal="center" vertical="center" wrapText="1"/>
    </xf>
    <xf numFmtId="0" fontId="0" fillId="0" borderId="0" xfId="0" applyFont="1" applyNumberFormat="1">
      <alignment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37" borderId="13" xfId="0" applyFont="1" applyFill="1" applyBorder="1" applyNumberFormat="1">
      <alignment horizontal="left" vertical="center" wrapText="1" indent="5"/>
    </xf>
    <xf numFmtId="49" fontId="47" fillId="39" borderId="16" xfId="0" applyFont="1" applyFill="1" applyBorder="1" applyNumberFormat="1">
      <alignment horizontal="left" vertical="center" indent="5"/>
    </xf>
    <xf numFmtId="49" fontId="47" fillId="39" borderId="16" xfId="0" applyFont="1" applyFill="1" applyBorder="1" applyNumberFormat="1">
      <alignment horizontal="left" vertical="center" indent="6"/>
    </xf>
    <xf numFmtId="0" fontId="23" fillId="0" borderId="13" xfId="0" applyFont="1" applyBorder="1" applyNumberFormat="1">
      <alignment vertical="center" wrapText="1"/>
    </xf>
    <xf numFmtId="0" fontId="22" fillId="0" borderId="0" xfId="0" applyFont="1" applyNumberFormat="1">
      <alignment vertical="center" wrapText="1"/>
    </xf>
    <xf numFmtId="0" fontId="73" fillId="37" borderId="0" xfId="0" applyFont="1" applyFill="1" applyNumberFormat="1">
      <alignment vertical="center" wrapText="1"/>
    </xf>
    <xf numFmtId="49" fontId="23" fillId="0" borderId="13" xfId="0" applyFont="1" applyBorder="1" applyNumberFormat="1">
      <alignment horizontal="center" vertical="center" wrapText="1"/>
    </xf>
    <xf numFmtId="49" fontId="0" fillId="0" borderId="0" xfId="0" applyFont="1" applyNumberFormat="1">
      <alignment vertical="top"/>
    </xf>
    <xf numFmtId="49" fontId="47" fillId="39" borderId="15" xfId="0" applyFont="1" applyFill="1" applyBorder="1" applyNumberFormat="1">
      <alignment horizontal="left" vertical="center" indent="1"/>
    </xf>
    <xf numFmtId="0" fontId="0" fillId="37" borderId="13" xfId="0" applyFont="1" applyFill="1" applyBorder="1" applyNumberFormat="1">
      <alignment horizontal="right" vertical="center" wrapText="1" indent="1"/>
    </xf>
    <xf numFmtId="49" fontId="0" fillId="0" borderId="13" xfId="0" applyFont="1" applyBorder="1" applyNumberFormat="1">
      <alignment horizontal="left" vertical="center"/>
    </xf>
    <xf numFmtId="0" fontId="23" fillId="0" borderId="13" xfId="0" applyFont="1" applyBorder="1" applyNumberFormat="1">
      <alignment vertical="top" wrapText="1"/>
    </xf>
    <xf numFmtId="0" fontId="23" fillId="0" borderId="13" xfId="0" applyFont="1" applyBorder="1" applyNumberFormat="1">
      <alignment vertical="center" wrapText="1"/>
    </xf>
    <xf numFmtId="0" fontId="71" fillId="0" borderId="0" xfId="0" applyFont="1" applyNumberFormat="1">
      <alignment vertical="center"/>
    </xf>
    <xf numFmtId="0" fontId="23" fillId="0" borderId="13" xfId="0" applyFont="1" applyBorder="1" applyNumberFormat="1">
      <alignment horizontal="left" vertical="center" wrapText="1" indent="6"/>
    </xf>
    <xf numFmtId="0" fontId="23" fillId="0" borderId="18" xfId="0" applyFont="1" applyBorder="1" applyNumberFormat="1">
      <alignment vertical="center" wrapText="1"/>
    </xf>
    <xf numFmtId="0" fontId="23" fillId="0" borderId="24" xfId="0" applyFont="1" applyBorder="1" applyNumberFormat="1">
      <alignment vertical="center" wrapText="1"/>
    </xf>
    <xf numFmtId="49" fontId="0" fillId="39" borderId="14" xfId="0" applyFont="1" applyFill="1" applyBorder="1" applyNumberFormat="1">
      <alignment horizontal="center" vertical="center" wrapText="1"/>
    </xf>
    <xf numFmtId="0" fontId="0" fillId="0" borderId="15" xfId="0" applyFont="1" applyBorder="1" applyNumberFormat="1">
      <alignment vertical="center"/>
    </xf>
    <xf numFmtId="0" fontId="0" fillId="37" borderId="15" xfId="0" applyFont="1" applyFill="1" applyBorder="1" applyNumberFormat="1">
      <alignment horizontal="right" vertical="center" wrapText="1" indent="1"/>
    </xf>
    <xf numFmtId="49" fontId="39" fillId="0" borderId="0" xfId="0" applyFont="1" applyNumberFormat="1">
      <alignment vertical="top"/>
    </xf>
    <xf numFmtId="0" fontId="46" fillId="37" borderId="0" xfId="0" applyFont="1" applyFill="1" applyNumberFormat="1">
      <alignment vertical="center" wrapText="1"/>
    </xf>
    <xf numFmtId="0" fontId="23" fillId="37" borderId="13" xfId="0" applyFont="1" applyFill="1" applyBorder="1" applyNumberFormat="1">
      <alignment horizontal="left" vertical="center" wrapText="1" inden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23" fillId="0" borderId="13" xfId="0" applyFont="1" applyBorder="1" applyNumberFormat="1">
      <alignment horizontal="left" vertical="center" wrapText="1" indent="4"/>
    </xf>
    <xf numFmtId="49" fontId="47" fillId="39" borderId="15" xfId="0" applyFont="1" applyFill="1" applyBorder="1" applyNumberFormat="1">
      <alignment vertical="center" wrapText="1"/>
    </xf>
    <xf numFmtId="49" fontId="47" fillId="39" borderId="16" xfId="0" applyFont="1" applyFill="1" applyBorder="1" applyNumberFormat="1">
      <alignment vertical="center"/>
    </xf>
    <xf numFmtId="49" fontId="47" fillId="39" borderId="16" xfId="0" applyFont="1" applyFill="1" applyBorder="1" applyNumberFormat="1">
      <alignment vertical="center" wrapText="1"/>
    </xf>
    <xf numFmtId="0" fontId="23" fillId="0" borderId="0" xfId="0" applyFont="1" applyNumberFormat="1">
      <alignment vertical="top" wrapText="1"/>
    </xf>
    <xf numFmtId="49" fontId="47" fillId="39" borderId="15" xfId="0" applyFont="1" applyFill="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36" fillId="37" borderId="0" xfId="0" applyFont="1" applyFill="1" applyNumberFormat="1">
      <alignment horizontal="center" vertical="center" wrapText="1"/>
    </xf>
    <xf numFmtId="0" fontId="23" fillId="0" borderId="0" xfId="0" applyFont="1" applyNumberFormat="1">
      <alignment vertical="center" wrapText="1"/>
    </xf>
    <xf numFmtId="49" fontId="23" fillId="39" borderId="14" xfId="0" applyFont="1" applyFill="1" applyBorder="1" applyNumberFormat="1">
      <alignment horizontal="center" vertical="center" wrapText="1"/>
    </xf>
    <xf numFmtId="4" fontId="23" fillId="0" borderId="13" xfId="0" applyFont="1" applyBorder="1" applyNumberFormat="1">
      <alignment horizontal="right" vertical="center" wrapText="1"/>
    </xf>
    <xf numFmtId="0" fontId="23" fillId="0" borderId="0" xfId="0" applyFont="1" applyNumberFormat="1">
      <alignment vertical="center" wrapText="1"/>
    </xf>
    <xf numFmtId="0" fontId="23" fillId="0" borderId="0" xfId="0" applyFont="1" applyNumberFormat="1">
      <alignment vertical="center" wrapText="1"/>
    </xf>
    <xf numFmtId="4" fontId="54" fillId="0" borderId="13" xfId="0" applyFont="1" applyBorder="1" applyNumberFormat="1">
      <alignment horizontal="center" vertical="center" wrapText="1"/>
    </xf>
    <xf numFmtId="0" fontId="0" fillId="0" borderId="0" xfId="0" applyFont="1" applyNumberFormat="1">
      <alignment vertical="center"/>
    </xf>
    <xf numFmtId="0" fontId="0" fillId="0" borderId="13" xfId="0" applyFont="1" applyBorder="1" applyNumberFormat="1">
      <alignment horizontal="left" vertical="center" wrapText="1" indent="1"/>
    </xf>
    <xf numFmtId="49" fontId="74" fillId="0" borderId="15" xfId="0" applyFont="1" applyBorder="1" applyNumberFormat="1">
      <alignment horizontal="left" vertical="center" wrapText="1"/>
    </xf>
    <xf numFmtId="0" fontId="71" fillId="0" borderId="13" xfId="0" applyFont="1" applyBorder="1" applyNumberFormat="1">
      <alignment horizontal="left" vertical="center" wrapText="1" indent="2"/>
    </xf>
    <xf numFmtId="49" fontId="71" fillId="0" borderId="13" xfId="0" applyFont="1" applyBorder="1" applyNumberFormat="1">
      <alignment horizontal="center" vertical="center" wrapText="1"/>
    </xf>
    <xf numFmtId="0" fontId="75"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8" xfId="0" applyFont="1" applyBorder="1" applyNumberFormat="1">
      <alignment vertical="center" wrapText="1"/>
    </xf>
    <xf numFmtId="49" fontId="51" fillId="39" borderId="16" xfId="0" applyFont="1" applyFill="1" applyBorder="1" applyNumberFormat="1">
      <alignment horizontal="center" vertical="top"/>
    </xf>
    <xf numFmtId="0" fontId="23" fillId="0" borderId="24" xfId="0" applyFont="1" applyBorder="1" applyNumberFormat="1">
      <alignment vertical="top" wrapText="1"/>
    </xf>
    <xf numFmtId="0" fontId="0" fillId="0" borderId="0" xfId="0" applyFont="1" applyNumberFormat="1">
      <alignment horizontal="left" vertical="top" wrapText="1"/>
    </xf>
    <xf numFmtId="0" fontId="23" fillId="0" borderId="18"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6" fillId="0" borderId="0" xfId="0" applyFont="1" applyNumberFormat="1">
      <alignment vertical="center" wrapText="1"/>
    </xf>
    <xf numFmtId="0" fontId="23" fillId="0" borderId="13" xfId="0" applyFont="1" applyBorder="1" applyNumberFormat="1">
      <alignment vertical="center" wrapText="1"/>
    </xf>
    <xf numFmtId="49" fontId="23" fillId="0" borderId="0" xfId="0" applyFont="1" applyNumberFormat="1">
      <alignment horizontal="center" vertical="center" wrapText="1"/>
    </xf>
    <xf numFmtId="0" fontId="23" fillId="39" borderId="15" xfId="0" applyFont="1" applyFill="1" applyBorder="1" applyNumberFormat="1">
      <alignment vertical="center" wrapText="1"/>
    </xf>
    <xf numFmtId="0" fontId="23" fillId="41" borderId="13" xfId="0" applyFont="1" applyFill="1" applyBorder="1" applyNumberFormat="1">
      <alignment horizontal="left" vertical="center" wrapText="1" indent="1"/>
      <protection locked="0"/>
    </xf>
    <xf numFmtId="49" fontId="47" fillId="39" borderId="16" xfId="0" applyFont="1" applyFill="1" applyBorder="1" applyNumberFormat="1">
      <alignment horizontal="left" vertical="center" indent="2"/>
    </xf>
    <xf numFmtId="0" fontId="54" fillId="0" borderId="0" xfId="0" applyFont="1" applyNumberFormat="1">
      <alignment vertical="center"/>
    </xf>
    <xf numFmtId="0" fontId="76" fillId="0" borderId="0" xfId="0" applyFont="1" applyNumberFormat="1">
      <alignment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44" fillId="0" borderId="0" xfId="0" applyFont="1" applyNumberFormat="1">
      <alignment vertical="center" wrapText="1"/>
    </xf>
    <xf numFmtId="49" fontId="23" fillId="0" borderId="25" xfId="0" applyFont="1" applyBorder="1" applyNumberFormat="1">
      <alignment vertical="top"/>
    </xf>
    <xf numFmtId="0" fontId="54" fillId="0" borderId="25" xfId="0" applyFont="1" applyBorder="1" applyNumberFormat="1">
      <alignment horizontal="center" vertical="center" wrapText="1"/>
    </xf>
    <xf numFmtId="0" fontId="54" fillId="0" borderId="25" xfId="0" applyFont="1" applyBorder="1" applyNumberFormat="1">
      <alignment vertical="center" wrapText="1"/>
    </xf>
    <xf numFmtId="49" fontId="39" fillId="0" borderId="0" xfId="0" applyFont="1" applyNumberFormat="1">
      <alignment vertical="top"/>
    </xf>
    <xf numFmtId="49" fontId="0" fillId="0" borderId="25"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39" fillId="0" borderId="0" xfId="0" applyFont="1" applyNumberFormat="1">
      <alignment vertical="center" wrapText="1"/>
    </xf>
    <xf numFmtId="0" fontId="23" fillId="37" borderId="0" xfId="0" applyFont="1" applyFill="1" applyNumberFormat="1">
      <alignment vertical="center" wrapText="1"/>
    </xf>
    <xf numFmtId="49" fontId="23" fillId="0" borderId="0" xfId="0" applyFont="1" applyNumberFormat="1">
      <alignment vertical="center" wrapText="1"/>
    </xf>
    <xf numFmtId="49" fontId="47" fillId="39" borderId="16" xfId="0" applyFont="1" applyFill="1" applyBorder="1" applyNumberFormat="1">
      <alignment horizontal="left" vertical="center" indent="4"/>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0" fontId="54" fillId="0" borderId="0" xfId="0" applyFont="1" applyNumberFormat="1">
      <alignment vertical="center"/>
    </xf>
    <xf numFmtId="0" fontId="23" fillId="0" borderId="0" xfId="0" applyFont="1" applyNumberFormat="1">
      <alignment vertical="top" wrapText="1"/>
    </xf>
    <xf numFmtId="49" fontId="23" fillId="0" borderId="13" xfId="0" applyFont="1" applyBorder="1" applyNumberFormat="1">
      <alignment horizontal="right" vertical="top"/>
    </xf>
    <xf numFmtId="49" fontId="23" fillId="0" borderId="18" xfId="0" applyFont="1" applyBorder="1" applyNumberFormat="1">
      <alignment horizontal="right" vertical="top"/>
    </xf>
    <xf numFmtId="49" fontId="47" fillId="39" borderId="16"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6" fillId="0" borderId="0" xfId="0" applyFont="1" applyNumberFormat="1">
      <alignment vertical="top"/>
    </xf>
    <xf numFmtId="0" fontId="46" fillId="37" borderId="0" xfId="0" applyFont="1" applyFill="1" applyNumberFormat="1">
      <alignment vertical="center" wrapText="1"/>
    </xf>
    <xf numFmtId="49" fontId="23"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54" fillId="0" borderId="0" xfId="0" applyFont="1" applyNumberFormat="1">
      <alignment vertical="top"/>
    </xf>
    <xf numFmtId="49" fontId="54" fillId="0" borderId="0" xfId="0" applyFont="1" applyNumberFormat="1">
      <alignment vertical="top"/>
    </xf>
    <xf numFmtId="49" fontId="23" fillId="41" borderId="13" xfId="0" applyFont="1" applyFill="1" applyBorder="1" applyNumberFormat="1">
      <alignment horizontal="left" vertical="center" wrapText="1"/>
      <protection locked="0"/>
    </xf>
    <xf numFmtId="49" fontId="34" fillId="41" borderId="13" xfId="0" applyFont="1" applyFill="1" applyBorder="1" applyNumberFormat="1">
      <alignment horizontal="left" vertical="center" wrapText="1"/>
      <protection locked="0"/>
    </xf>
    <xf numFmtId="49" fontId="0" fillId="0" borderId="26" xfId="0" applyFont="1" applyBorder="1" applyNumberFormat="1">
      <alignment horizontal="center" vertical="center"/>
    </xf>
    <xf numFmtId="164" fontId="23" fillId="0" borderId="13" xfId="0" applyFont="1" applyBorder="1" applyNumberFormat="1">
      <alignment horizontal="right" vertical="center" wrapText="1"/>
    </xf>
    <xf numFmtId="49" fontId="34" fillId="41" borderId="15" xfId="0" applyFont="1" applyFill="1" applyBorder="1" applyNumberFormat="1">
      <alignment horizontal="left" vertical="center" wrapText="1"/>
      <protection locked="0"/>
    </xf>
    <xf numFmtId="0" fontId="23" fillId="37" borderId="13" xfId="0" applyFont="1" applyFill="1" applyBorder="1" applyNumberFormat="1">
      <alignment horizontal="center" vertical="center"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37" borderId="0" xfId="0" applyFont="1" applyFill="1" applyNumberFormat="1">
      <alignment horizontal="center" vertical="center" wrapText="1"/>
    </xf>
    <xf numFmtId="0" fontId="36" fillId="0" borderId="0" xfId="0" applyFont="1" applyNumberFormat="1">
      <alignment vertical="top" wrapText="1"/>
    </xf>
    <xf numFmtId="0" fontId="23" fillId="37" borderId="27" xfId="0" applyFont="1" applyFill="1" applyBorder="1" applyNumberFormat="1">
      <alignment horizontal="right" vertical="center" wrapText="1" indent="1"/>
    </xf>
    <xf numFmtId="0" fontId="0" fillId="37" borderId="27" xfId="0" applyFont="1" applyFill="1" applyBorder="1" applyNumberFormat="1">
      <alignment horizontal="right" vertical="center" wrapText="1" indent="1"/>
    </xf>
    <xf numFmtId="0" fontId="23" fillId="0" borderId="0" xfId="0" applyFont="1" applyNumberFormat="1">
      <alignment horizontal="left" vertical="center" wrapText="1" indent="4"/>
    </xf>
    <xf numFmtId="0" fontId="23" fillId="37" borderId="0" xfId="0" applyFont="1" applyFill="1" applyNumberFormat="1">
      <alignment horizontal="center" vertical="center" wrapText="1"/>
    </xf>
    <xf numFmtId="49" fontId="47" fillId="39" borderId="16" xfId="0" applyFont="1" applyFill="1" applyBorder="1" applyNumberFormat="1">
      <alignment horizontal="left" vertical="center"/>
    </xf>
    <xf numFmtId="0" fontId="23" fillId="0" borderId="20" xfId="0" applyFont="1" applyBorder="1" applyNumberFormat="1">
      <alignment vertical="center" wrapText="1"/>
    </xf>
    <xf numFmtId="0" fontId="23" fillId="0" borderId="0" xfId="0" applyFont="1" applyNumberFormat="1">
      <alignment horizontal="left" vertical="center" wrapText="1" indent="1"/>
    </xf>
    <xf numFmtId="0" fontId="75" fillId="0" borderId="0" xfId="0" applyFont="1" applyNumberFormat="1">
      <alignment vertical="center" wrapText="1"/>
    </xf>
    <xf numFmtId="49" fontId="0" fillId="37" borderId="15" xfId="0" applyFont="1" applyFill="1" applyBorder="1" applyNumberFormat="1">
      <alignment horizontal="center" vertical="center" wrapText="1"/>
    </xf>
    <xf numFmtId="49" fontId="47" fillId="39" borderId="28" xfId="0" applyFont="1" applyFill="1" applyBorder="1" applyNumberFormat="1">
      <alignment horizontal="left" vertical="center" indent="2"/>
    </xf>
    <xf numFmtId="49" fontId="34" fillId="33" borderId="13" xfId="0" applyFont="1" applyFill="1" applyBorder="1" applyNumberFormat="1">
      <alignment horizontal="left" vertical="center" wrapText="1"/>
      <protection locked="0"/>
    </xf>
    <xf numFmtId="49" fontId="23" fillId="0" borderId="20" xfId="0" applyFont="1" applyBorder="1" applyNumberFormat="1">
      <alignment vertical="top"/>
    </xf>
    <xf numFmtId="49" fontId="77" fillId="39" borderId="14" xfId="0" applyFont="1" applyFill="1" applyBorder="1" applyNumberFormat="1">
      <alignment horizontal="left" vertical="center" indent="1"/>
    </xf>
    <xf numFmtId="49" fontId="77" fillId="39" borderId="16" xfId="0" applyFont="1" applyFill="1" applyBorder="1" applyNumberFormat="1">
      <alignment horizontal="left" vertical="center" indent="1"/>
    </xf>
    <xf numFmtId="49" fontId="36" fillId="39" borderId="15" xfId="0" applyFont="1" applyFill="1" applyBorder="1" applyNumberFormat="1">
      <alignment horizontal="center" vertical="center"/>
    </xf>
    <xf numFmtId="49" fontId="77" fillId="39" borderId="16" xfId="0" applyFont="1" applyFill="1" applyBorder="1" applyNumberFormat="1">
      <alignment vertical="center"/>
    </xf>
    <xf numFmtId="0" fontId="0" fillId="34" borderId="13" xfId="0" applyFont="1" applyFill="1" applyBorder="1" applyNumberFormat="1">
      <alignment horizontal="right" vertical="center"/>
    </xf>
    <xf numFmtId="0" fontId="40" fillId="0" borderId="0" xfId="0" applyFont="1" applyNumberFormat="1">
      <alignment vertical="center" wrapText="1"/>
    </xf>
    <xf numFmtId="0" fontId="23" fillId="0" borderId="0" xfId="0" applyFont="1" applyNumberFormat="1">
      <alignment vertical="center" wrapText="1"/>
    </xf>
    <xf numFmtId="0" fontId="41" fillId="37" borderId="0" xfId="0" applyFont="1" applyFill="1" applyNumberFormat="1">
      <alignment vertical="center" wrapText="1"/>
    </xf>
    <xf numFmtId="0" fontId="39" fillId="0" borderId="0" xfId="0" applyFont="1" applyNumberFormat="1">
      <alignment horizontal="center" vertical="center" wrapText="1"/>
    </xf>
    <xf numFmtId="0" fontId="0" fillId="0" borderId="0" xfId="0" applyFont="1" applyNumberFormat="1">
      <alignment vertical="center" wrapText="1"/>
    </xf>
    <xf numFmtId="0" fontId="39" fillId="0" borderId="0" xfId="0" applyFont="1" applyNumberFormat="1">
      <alignment horizontal="left" vertical="center" wrapText="1"/>
    </xf>
    <xf numFmtId="0" fontId="0" fillId="0" borderId="13" xfId="0" applyFont="1" applyBorder="1" applyNumberFormat="1">
      <alignment horizontal="center" vertical="center" wrapText="1"/>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0" fontId="53" fillId="0" borderId="0" xfId="0" applyFont="1" applyNumberFormat="1">
      <alignment vertical="center" wrapText="1"/>
    </xf>
    <xf numFmtId="0" fontId="0" fillId="0" borderId="0" xfId="0" applyFont="1" applyNumberFormat="1">
      <alignment vertical="center"/>
    </xf>
    <xf numFmtId="49" fontId="54" fillId="0" borderId="0" xfId="0" applyFont="1" applyNumberFormat="1">
      <alignment vertical="top"/>
    </xf>
    <xf numFmtId="0" fontId="78" fillId="0" borderId="0" xfId="0" applyFont="1" applyNumberFormat="1">
      <alignment vertical="center" wrapText="1"/>
    </xf>
    <xf numFmtId="49" fontId="36" fillId="39" borderId="15" xfId="0" applyFont="1" applyFill="1" applyBorder="1" applyNumberFormat="1">
      <alignment horizontal="right" vertical="center" wrapText="1"/>
    </xf>
    <xf numFmtId="49" fontId="53" fillId="0" borderId="0" xfId="0" applyFont="1" applyNumberFormat="1">
      <alignment vertical="top"/>
    </xf>
    <xf numFmtId="49" fontId="0" fillId="0" borderId="0" xfId="0" applyFont="1" applyNumberFormat="1">
      <alignment vertical="top"/>
    </xf>
    <xf numFmtId="49" fontId="0" fillId="39" borderId="14" xfId="0" applyFont="1" applyFill="1" applyBorder="1" applyNumberFormat="1">
      <alignment horizontal="right" vertical="center" wrapText="1"/>
    </xf>
    <xf numFmtId="0" fontId="0" fillId="0" borderId="13" xfId="0" applyFont="1" applyBorder="1" applyNumberFormat="1">
      <alignment horizontal="center"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64" fillId="0" borderId="0" xfId="0" applyFont="1" applyNumberFormat="1">
      <alignment vertical="center" wrapText="1"/>
    </xf>
    <xf numFmtId="0" fontId="0" fillId="0" borderId="15" xfId="0" applyFont="1" applyBorder="1" applyNumberFormat="1">
      <alignment horizontal="center" vertical="center" wrapText="1"/>
    </xf>
    <xf numFmtId="0" fontId="0" fillId="33"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vertical="top" wrapText="1"/>
    </xf>
    <xf numFmtId="0" fontId="0" fillId="37" borderId="15" xfId="0" applyFont="1" applyFill="1" applyBorder="1" applyNumberFormat="1">
      <alignment horizontal="left" vertical="center" wrapText="1" indent="1"/>
    </xf>
    <xf numFmtId="0" fontId="0" fillId="37" borderId="18" xfId="0" applyFont="1" applyFill="1" applyBorder="1" applyNumberFormat="1">
      <alignment horizontal="left" vertical="center" wrapText="1"/>
    </xf>
    <xf numFmtId="0" fontId="0" fillId="37" borderId="13" xfId="0" applyFont="1" applyFill="1" applyBorder="1" applyNumberFormat="1">
      <alignment horizontal="left" vertical="center" wrapText="1"/>
    </xf>
    <xf numFmtId="0" fontId="0" fillId="37" borderId="13" xfId="0" applyFont="1" applyFill="1" applyBorder="1" applyNumberFormat="1">
      <alignment horizontal="left" vertical="center" wrapText="1" indent="2"/>
    </xf>
    <xf numFmtId="0" fontId="0" fillId="37" borderId="13" xfId="0" applyFont="1" applyFill="1" applyBorder="1" applyNumberFormat="1">
      <alignment horizontal="center" vertical="center"/>
    </xf>
    <xf numFmtId="49" fontId="0" fillId="41" borderId="13" xfId="0" applyFont="1" applyFill="1" applyBorder="1" applyNumberFormat="1">
      <alignment horizontal="left" vertical="center" wrapText="1"/>
      <protection locked="0"/>
    </xf>
    <xf numFmtId="0" fontId="0" fillId="37" borderId="13"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37" borderId="13" xfId="0" applyFont="1" applyFill="1" applyBorder="1" applyNumberFormat="1">
      <alignment vertical="center" wrapText="1"/>
    </xf>
    <xf numFmtId="49" fontId="0" fillId="37" borderId="13" xfId="0" applyFont="1" applyFill="1" applyBorder="1" applyNumberFormat="1">
      <alignment horizontal="center" vertical="center"/>
    </xf>
    <xf numFmtId="0" fontId="0" fillId="37" borderId="13" xfId="0" applyFont="1" applyFill="1" applyBorder="1" applyNumberFormat="1">
      <alignment horizontal="center" vertical="center" wrapText="1"/>
    </xf>
    <xf numFmtId="0" fontId="23" fillId="0" borderId="0" xfId="0" applyFont="1" applyNumberFormat="1">
      <alignment vertical="center" wrapText="1"/>
    </xf>
    <xf numFmtId="49" fontId="43" fillId="37" borderId="0" xfId="0" applyFont="1" applyFill="1" applyNumberFormat="1">
      <alignment horizontal="center"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44" fillId="0" borderId="0" xfId="0" applyFont="1" applyNumberFormat="1">
      <alignment horizontal="center" vertical="center" wrapText="1"/>
    </xf>
    <xf numFmtId="0" fontId="49" fillId="0" borderId="0" xfId="0" applyFont="1" applyNumberFormat="1">
      <alignment vertical="center" wrapText="1"/>
    </xf>
    <xf numFmtId="0" fontId="22" fillId="0" borderId="0" xfId="0" applyFont="1" applyNumberFormat="1">
      <alignment horizontal="center" vertical="center" wrapText="1"/>
    </xf>
    <xf numFmtId="0" fontId="52" fillId="0" borderId="0" xfId="0" applyFont="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23" fillId="37" borderId="0" xfId="0" applyFont="1" applyFill="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0" fillId="37" borderId="0" xfId="0" applyFont="1" applyFill="1" applyNumberFormat="1"/>
    <xf numFmtId="0" fontId="81" fillId="37" borderId="0" xfId="0" applyFont="1" applyFill="1" applyNumberFormat="1">
      <alignment horizontal="right" vertical="center"/>
    </xf>
    <xf numFmtId="0" fontId="81" fillId="37" borderId="0" xfId="0" applyFont="1" applyFill="1" applyNumberFormat="1">
      <alignment horizontal="right" vertical="top"/>
    </xf>
    <xf numFmtId="0" fontId="23" fillId="37" borderId="0" xfId="0" applyFont="1" applyFill="1" applyNumberFormat="1">
      <alignment horizontal="center" vertical="center" wrapText="1"/>
    </xf>
    <xf numFmtId="0" fontId="43" fillId="37" borderId="0" xfId="0" applyFont="1" applyFill="1" applyNumberFormat="1">
      <alignment horizontal="center" vertical="center"/>
    </xf>
    <xf numFmtId="0" fontId="23" fillId="0" borderId="13" xfId="0" applyFont="1" applyBorder="1" applyNumberFormat="1">
      <alignment horizontal="center" vertical="center" wrapText="1"/>
    </xf>
    <xf numFmtId="0" fontId="52" fillId="0" borderId="0" xfId="0" applyFont="1" applyNumberFormat="1">
      <alignment vertical="top" wrapText="1"/>
    </xf>
    <xf numFmtId="0" fontId="23" fillId="39" borderId="15" xfId="0" applyFont="1" applyFill="1" applyBorder="1" applyNumberFormat="1">
      <alignment horizontal="center"/>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82" fillId="37" borderId="0" xfId="0" applyFont="1" applyFill="1" applyNumberFormat="1">
      <alignment vertical="center"/>
    </xf>
    <xf numFmtId="0" fontId="82" fillId="37" borderId="0" xfId="0" applyFont="1" applyFill="1" applyNumberFormat="1">
      <alignment vertical="center" wrapText="1"/>
    </xf>
    <xf numFmtId="49"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vertical="center" wrapText="1"/>
    </xf>
    <xf numFmtId="0" fontId="69" fillId="37" borderId="0" xfId="0" applyFont="1" applyFill="1" applyNumberFormat="1"/>
    <xf numFmtId="0" fontId="57" fillId="37" borderId="0" xfId="0" applyFont="1" applyFill="1" applyNumberFormat="1"/>
    <xf numFmtId="0" fontId="65" fillId="37" borderId="0" xfId="0" applyFont="1" applyFill="1" applyNumberFormat="1"/>
    <xf numFmtId="0" fontId="65" fillId="37" borderId="0" xfId="0" applyFont="1" applyFill="1" applyNumberFormat="1">
      <alignment horizontal="center"/>
    </xf>
    <xf numFmtId="0" fontId="62" fillId="0" borderId="0" xfId="0" applyFont="1" applyNumberFormat="1">
      <alignment vertical="center" wrapText="1"/>
    </xf>
    <xf numFmtId="0" fontId="6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4" fontId="64" fillId="0" borderId="0" xfId="0" applyFont="1" applyNumberFormat="1">
      <alignment horizontal="right" vertical="center" wrapText="1"/>
    </xf>
    <xf numFmtId="0" fontId="64" fillId="0" borderId="0" xfId="0" applyFont="1" applyNumberFormat="1">
      <alignment horizontal="left" vertical="center" wrapText="1" indent="1"/>
    </xf>
    <xf numFmtId="0" fontId="83" fillId="37" borderId="0" xfId="0" applyFont="1" applyFill="1" applyNumberFormat="1">
      <alignment horizontal="center" vertical="center" wrapText="1"/>
    </xf>
    <xf numFmtId="0" fontId="43" fillId="37" borderId="0" xfId="0" applyFont="1" applyFill="1" applyNumberFormat="1">
      <alignment horizontal="center" vertical="center" wrapText="1"/>
    </xf>
    <xf numFmtId="0" fontId="68" fillId="0" borderId="0" xfId="0" applyFont="1" applyNumberFormat="1">
      <alignment vertical="center" wrapText="1"/>
    </xf>
    <xf numFmtId="0" fontId="54" fillId="0" borderId="0" xfId="0" applyFont="1" applyNumberFormat="1">
      <alignment vertical="center" wrapText="1"/>
    </xf>
    <xf numFmtId="49" fontId="23" fillId="42" borderId="13" xfId="0" applyFont="1" applyFill="1" applyBorder="1" applyNumberFormat="1">
      <alignment horizontal="left" vertical="center" wrapText="1"/>
    </xf>
    <xf numFmtId="0" fontId="68" fillId="0" borderId="0" xfId="0" applyFont="1" applyNumberFormat="1">
      <alignment horizontal="center" vertical="center" wrapText="1"/>
    </xf>
    <xf numFmtId="0" fontId="23" fillId="37" borderId="25" xfId="0" applyFont="1" applyFill="1" applyBorder="1" applyNumberFormat="1">
      <alignment vertical="center" wrapText="1"/>
    </xf>
    <xf numFmtId="49" fontId="43" fillId="37" borderId="16" xfId="0" applyFont="1" applyFill="1" applyBorder="1" applyNumberFormat="1">
      <alignment horizontal="center" vertical="center" wrapText="1"/>
    </xf>
    <xf numFmtId="0" fontId="54" fillId="0" borderId="0" xfId="0" applyFont="1" applyNumberFormat="1">
      <alignment horizontal="center" vertical="center" wrapText="1"/>
    </xf>
    <xf numFmtId="0" fontId="83" fillId="0" borderId="0" xfId="0" applyFont="1" applyNumberFormat="1">
      <alignment horizontal="center" vertical="center" wrapText="1"/>
    </xf>
    <xf numFmtId="0" fontId="76" fillId="0" borderId="0" xfId="0" applyFont="1" applyNumberFormat="1">
      <alignment vertical="center" wrapText="1"/>
    </xf>
    <xf numFmtId="49" fontId="76" fillId="0" borderId="13" xfId="0" applyFont="1" applyBorder="1" applyNumberFormat="1">
      <alignment horizontal="lef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0" fontId="54" fillId="0" borderId="0" xfId="0" applyFont="1" applyNumberFormat="1">
      <alignment vertical="center"/>
    </xf>
    <xf numFmtId="0" fontId="54" fillId="37" borderId="0" xfId="0" applyFont="1" applyFill="1" applyNumberFormat="1"/>
    <xf numFmtId="0" fontId="54" fillId="37" borderId="0" xfId="0" applyFont="1" applyFill="1" applyNumberFormat="1">
      <alignment vertical="center" wrapText="1"/>
    </xf>
    <xf numFmtId="0" fontId="54"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49" fillId="0" borderId="0" xfId="0" applyFont="1" applyNumberFormat="1">
      <alignment vertical="center" wrapText="1"/>
    </xf>
    <xf numFmtId="49" fontId="23" fillId="0" borderId="13" xfId="0" applyFont="1" applyBorder="1" applyNumberFormat="1">
      <alignment horizontal="left" vertical="center" wrapText="1"/>
    </xf>
    <xf numFmtId="0" fontId="23" fillId="0" borderId="0" xfId="0" applyFont="1" applyNumberFormat="1">
      <alignment vertical="center" wrapText="1"/>
    </xf>
    <xf numFmtId="49" fontId="54" fillId="0" borderId="0" xfId="0" applyFont="1" applyNumberFormat="1">
      <alignment vertical="center" wrapText="1"/>
    </xf>
    <xf numFmtId="0" fontId="54" fillId="0" borderId="0" xfId="0" applyFont="1" applyNumberFormat="1">
      <alignment vertical="center" wrapText="1"/>
    </xf>
    <xf numFmtId="0" fontId="23" fillId="0" borderId="13" xfId="0" applyFont="1" applyBorder="1" applyNumberFormat="1">
      <alignment horizontal="center" vertical="center"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54" fillId="0" borderId="0" xfId="0" applyFont="1" applyNumberFormat="1">
      <alignment vertical="center" wrapText="1"/>
    </xf>
    <xf numFmtId="49" fontId="34" fillId="0" borderId="13" xfId="0" applyFont="1" applyBorder="1" applyNumberFormat="1">
      <alignment horizontal="left" vertical="center" wrapText="1"/>
    </xf>
    <xf numFmtId="14"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86" fillId="0" borderId="0" xfId="0" applyFont="1" applyNumberFormat="1">
      <alignment horizontal="center" vertical="center" wrapText="1"/>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0" fillId="37" borderId="15" xfId="0" applyFont="1" applyFill="1" applyBorder="1" applyNumberFormat="1">
      <alignment horizontal="left" vertical="center" wrapText="1"/>
    </xf>
    <xf numFmtId="49" fontId="36" fillId="39" borderId="16" xfId="0" applyFont="1" applyFill="1" applyBorder="1" applyNumberFormat="1">
      <alignment horizontal="center" vertical="center"/>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vertical="center" wrapText="1"/>
    </xf>
    <xf numFmtId="0" fontId="5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49" fontId="23" fillId="0" borderId="0" xfId="0" applyFont="1" applyNumberFormat="1">
      <alignment horizontal="center" vertical="top" wrapText="1"/>
    </xf>
    <xf numFmtId="49" fontId="23"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 fontId="23" fillId="33" borderId="13" xfId="0" applyFont="1" applyFill="1" applyBorder="1" applyNumberFormat="1">
      <alignment horizontal="right" vertical="center" wrapText="1"/>
      <protection locked="0"/>
    </xf>
    <xf numFmtId="0" fontId="23" fillId="0" borderId="14" xfId="0" applyFont="1" applyBorder="1" applyNumberFormat="1">
      <alignment vertical="top" wrapText="1"/>
    </xf>
    <xf numFmtId="0" fontId="88" fillId="0" borderId="0" xfId="0" applyFont="1" applyNumberFormat="1">
      <alignment vertical="center" wrapText="1"/>
    </xf>
    <xf numFmtId="0" fontId="58" fillId="0" borderId="0" xfId="0" applyFont="1" applyNumberFormat="1">
      <alignment vertical="center" wrapText="1"/>
    </xf>
    <xf numFmtId="166" fontId="23" fillId="33" borderId="13" xfId="0" applyFont="1" applyFill="1" applyBorder="1" applyNumberFormat="1">
      <alignment horizontal="right" vertical="center" wrapText="1"/>
      <protection locked="0"/>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49" fontId="54" fillId="0" borderId="0" xfId="0" applyFont="1" applyNumberFormat="1">
      <alignment horizontal="center"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0" fontId="23" fillId="33" borderId="13" xfId="0" applyFont="1" applyFill="1" applyBorder="1" applyNumberFormat="1">
      <alignment horizontal="left" vertical="center" wrapText="1"/>
      <protection locked="0"/>
    </xf>
    <xf numFmtId="0" fontId="22" fillId="0" borderId="0" xfId="0" applyFont="1" applyNumberFormat="1">
      <alignment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49"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3" xfId="0" applyFont="1" applyBorder="1" applyNumberFormat="1">
      <alignment horizontal="left" vertical="center" wrapText="1" indent="2"/>
    </xf>
    <xf numFmtId="166" fontId="23" fillId="41" borderId="13"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3" fillId="0" borderId="0" xfId="0" applyFont="1" applyNumberFormat="1">
      <alignment vertical="center"/>
    </xf>
    <xf numFmtId="0" fontId="23" fillId="0" borderId="0" xfId="0" applyFont="1" applyNumberFormat="1">
      <alignment vertical="center"/>
    </xf>
    <xf numFmtId="0" fontId="90" fillId="0" borderId="0" xfId="0" applyFont="1" applyNumberFormat="1">
      <alignment vertical="center"/>
    </xf>
    <xf numFmtId="0" fontId="48" fillId="0" borderId="0" xfId="0" applyFont="1" applyNumberFormat="1">
      <alignment vertical="center"/>
    </xf>
    <xf numFmtId="0" fontId="23" fillId="0" borderId="0" xfId="0" applyFont="1" applyNumberFormat="1">
      <alignment vertical="center" wrapText="1"/>
    </xf>
    <xf numFmtId="0" fontId="48" fillId="0" borderId="0" xfId="0" applyFont="1" applyNumberFormat="1">
      <alignment vertical="center"/>
    </xf>
    <xf numFmtId="0" fontId="90" fillId="0" borderId="0" xfId="0" applyFont="1" applyNumberFormat="1">
      <alignment vertical="center"/>
    </xf>
    <xf numFmtId="0" fontId="37" fillId="0" borderId="0" xfId="0" applyFont="1" applyNumberFormat="1">
      <alignment vertical="center"/>
    </xf>
    <xf numFmtId="0" fontId="23" fillId="0" borderId="0" xfId="0" applyFont="1" applyNumberFormat="1">
      <alignment horizontal="center" vertical="center" wrapText="1"/>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0" fontId="53" fillId="0" borderId="0" xfId="0" applyFont="1" applyNumberFormat="1">
      <alignment vertical="center"/>
    </xf>
    <xf numFmtId="0" fontId="0"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0" fontId="0" fillId="39" borderId="14" xfId="0" applyFont="1" applyFill="1" applyBorder="1" applyNumberFormat="1">
      <alignment vertical="center"/>
    </xf>
    <xf numFmtId="49" fontId="23" fillId="0" borderId="18"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0" xfId="0" applyFont="1" applyNumberFormat="1">
      <alignment vertical="center"/>
    </xf>
    <xf numFmtId="0" fontId="78" fillId="0" borderId="0" xfId="0" applyFont="1" applyNumberFormat="1">
      <alignment vertical="center"/>
    </xf>
    <xf numFmtId="0" fontId="0" fillId="0" borderId="0" xfId="0" applyFont="1" applyNumberFormat="1">
      <alignment vertical="center"/>
    </xf>
    <xf numFmtId="49" fontId="47" fillId="39" borderId="14"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center" vertical="center" wrapText="1"/>
    </xf>
    <xf numFmtId="0" fontId="36" fillId="0" borderId="0" xfId="0" applyFont="1" applyNumberFormat="1">
      <alignment horizontal="center" vertical="center" wrapText="1"/>
    </xf>
    <xf numFmtId="49" fontId="39"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49" fontId="67" fillId="0" borderId="0" xfId="0" applyFont="1" applyNumberFormat="1">
      <alignment horizontal="center" vertical="center" wrapText="1"/>
    </xf>
    <xf numFmtId="0" fontId="67"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49" fontId="0" fillId="0" borderId="14" xfId="0" applyFont="1" applyBorder="1" applyNumberFormat="1">
      <alignment horizontal="center"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47" fillId="0" borderId="13"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3" fillId="0" borderId="0" xfId="0" applyFont="1" applyNumberFormat="1">
      <alignment horizontal="center"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49" fontId="34" fillId="33" borderId="15"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52" fillId="0" borderId="0" xfId="0" applyFont="1" applyNumberFormat="1">
      <alignment vertical="top"/>
    </xf>
    <xf numFmtId="49" fontId="23" fillId="0" borderId="32"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0" borderId="33" xfId="0" applyFont="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32" xfId="0" applyFont="1" applyBorder="1" applyNumberFormat="1">
      <alignment horizontal="left" vertical="center" wrapText="1" indent="2"/>
    </xf>
    <xf numFmtId="0" fontId="53" fillId="0" borderId="0" xfId="0" applyFont="1" applyNumberFormat="1">
      <alignment horizontal="center" vertical="center" wrapText="1"/>
    </xf>
    <xf numFmtId="49" fontId="23" fillId="0" borderId="0" xfId="0" applyFont="1" applyNumberFormat="1">
      <alignment horizontal="left" vertical="center" wrapText="1"/>
    </xf>
    <xf numFmtId="0" fontId="87" fillId="0" borderId="0" xfId="0" applyFont="1" applyNumberFormat="1">
      <alignment vertical="center" wrapText="1"/>
    </xf>
    <xf numFmtId="0" fontId="87" fillId="0" borderId="0" xfId="0" applyFont="1" applyNumberFormat="1">
      <alignment vertical="center" wrapText="1"/>
    </xf>
    <xf numFmtId="0" fontId="23" fillId="0" borderId="0" xfId="0" applyFont="1" applyNumberFormat="1">
      <alignment horizontal="left"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 fontId="23" fillId="38" borderId="15"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0" fontId="23" fillId="39" borderId="28" xfId="0" applyFont="1" applyFill="1" applyBorder="1" applyNumberFormat="1">
      <alignment vertical="center" wrapText="1"/>
    </xf>
    <xf numFmtId="49" fontId="23" fillId="41" borderId="15" xfId="0" applyFont="1" applyFill="1" applyBorder="1" applyNumberFormat="1">
      <alignment horizontal="left" vertical="center" wrapText="1"/>
      <protection locked="0"/>
    </xf>
    <xf numFmtId="49" fontId="0" fillId="33" borderId="13"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23" fillId="0" borderId="13" xfId="0" applyFont="1" applyBorder="1" applyNumberFormat="1">
      <alignment horizontal="center" vertical="center" wrapText="1"/>
    </xf>
    <xf numFmtId="49" fontId="53" fillId="0" borderId="0" xfId="0" applyFont="1" applyNumberFormat="1">
      <alignment horizontal="center" vertical="center" wrapText="1"/>
    </xf>
    <xf numFmtId="0" fontId="23" fillId="0" borderId="13" xfId="0" applyFont="1" applyBorder="1" applyNumberFormat="1">
      <alignment horizontal="center" vertical="center" wrapText="1"/>
    </xf>
    <xf numFmtId="0" fontId="53" fillId="0" borderId="0" xfId="0" applyFont="1" applyNumberFormat="1">
      <alignment horizontal="center" vertical="top"/>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indent="1"/>
    </xf>
    <xf numFmtId="0" fontId="23" fillId="0" borderId="15" xfId="0" applyFont="1" applyBorder="1" applyNumberFormat="1">
      <alignment vertical="center" wrapText="1"/>
    </xf>
    <xf numFmtId="0" fontId="23" fillId="0" borderId="0" xfId="0" applyFont="1" applyNumberFormat="1">
      <alignment horizontal="right" vertical="center"/>
    </xf>
    <xf numFmtId="49" fontId="34" fillId="39" borderId="14" xfId="0" applyFont="1" applyFill="1" applyBorder="1" applyNumberFormat="1">
      <alignment horizontal="left" vertical="center" wrapText="1"/>
    </xf>
    <xf numFmtId="0" fontId="93" fillId="0" borderId="0" xfId="0" applyFont="1" applyNumberFormat="1">
      <alignment vertical="center"/>
    </xf>
    <xf numFmtId="0" fontId="94" fillId="0" borderId="0" xfId="0" applyFont="1" applyNumberFormat="1">
      <alignment vertical="center"/>
    </xf>
    <xf numFmtId="49" fontId="54" fillId="0" borderId="23" xfId="0" applyFont="1" applyBorder="1" applyNumberFormat="1">
      <alignment vertical="top"/>
    </xf>
    <xf numFmtId="49" fontId="54" fillId="0" borderId="23" xfId="0" applyFont="1" applyBorder="1" applyNumberFormat="1">
      <alignment vertical="top"/>
    </xf>
    <xf numFmtId="0" fontId="54" fillId="0" borderId="23" xfId="0" applyFont="1" applyBorder="1" applyNumberFormat="1">
      <alignment vertical="center" wrapText="1"/>
    </xf>
    <xf numFmtId="0" fontId="23" fillId="0" borderId="14" xfId="0" applyFont="1" applyBorder="1" applyNumberFormat="1">
      <alignment horizontal="left" vertical="center" wrapText="1" indent="1"/>
    </xf>
    <xf numFmtId="0" fontId="75" fillId="0" borderId="23" xfId="0" applyFont="1" applyBorder="1" applyNumberFormat="1">
      <alignment vertical="center" wrapText="1"/>
    </xf>
    <xf numFmtId="4" fontId="23" fillId="0" borderId="32" xfId="0" applyFont="1" applyBorder="1" applyNumberFormat="1">
      <alignment horizontal="center" vertical="center" wrapText="1"/>
    </xf>
    <xf numFmtId="0" fontId="23" fillId="0" borderId="34" xfId="0" applyFont="1" applyBorder="1" applyNumberFormat="1">
      <alignment horizontal="left" vertical="center" wrapText="1"/>
    </xf>
    <xf numFmtId="0" fontId="23" fillId="0" borderId="34" xfId="0" applyFont="1" applyBorder="1" applyNumberFormat="1">
      <alignment horizontal="left" vertical="center" wrapText="1" indent="1"/>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9" fontId="23" fillId="0" borderId="35"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0" fontId="53" fillId="0" borderId="0" xfId="0" applyFont="1" applyNumberFormat="1">
      <alignment horizontal="left" vertical="center" wrapText="1"/>
    </xf>
    <xf numFmtId="0" fontId="54"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0" borderId="0" xfId="0" applyFont="1" applyNumberFormat="1">
      <alignment horizontal="center" vertical="center" wrapText="1"/>
    </xf>
    <xf numFmtId="0" fontId="88" fillId="0" borderId="0" xfId="0" applyFont="1" applyNumberFormat="1">
      <alignment vertical="center" wrapText="1"/>
    </xf>
    <xf numFmtId="0" fontId="54"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4" fontId="23" fillId="0" borderId="36"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0" fontId="23" fillId="0" borderId="36" xfId="0" applyFont="1" applyBorder="1" applyNumberFormat="1">
      <alignment horizontal="left" vertical="center" wrapText="1"/>
    </xf>
    <xf numFmtId="0" fontId="23" fillId="0" borderId="21" xfId="0" applyFont="1" applyBorder="1" applyNumberFormat="1">
      <alignment vertical="center" wrapText="1"/>
    </xf>
    <xf numFmtId="0" fontId="44" fillId="0" borderId="0" xfId="0" applyFont="1" applyNumberFormat="1">
      <alignment horizontal="center"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166" fontId="23" fillId="38" borderId="13" xfId="0" applyFont="1" applyFill="1" applyBorder="1" applyNumberFormat="1">
      <alignment horizontal="right" vertical="center" wrapText="1"/>
    </xf>
    <xf numFmtId="0" fontId="0" fillId="0" borderId="0" xfId="0" applyFont="1" applyNumberFormat="1">
      <alignment vertical="center"/>
    </xf>
    <xf numFmtId="4" fontId="23" fillId="33" borderId="13" xfId="0" applyFont="1" applyFill="1" applyBorder="1" applyNumberFormat="1">
      <alignment horizontal="right" vertical="center" wrapText="1"/>
      <protection locked="0"/>
    </xf>
    <xf numFmtId="0" fontId="77" fillId="37" borderId="0" xfId="0" applyFont="1" applyFill="1" applyNumberFormat="1">
      <alignment horizontal="right" vertical="center"/>
    </xf>
    <xf numFmtId="49" fontId="0" fillId="0" borderId="13" xfId="0" applyFont="1" applyBorder="1" applyNumberFormat="1">
      <alignment vertical="top"/>
    </xf>
    <xf numFmtId="0" fontId="23" fillId="0" borderId="15" xfId="0" applyFont="1" applyBorder="1" applyNumberFormat="1">
      <alignment horizontal="center" vertical="center" wrapText="1"/>
    </xf>
    <xf numFmtId="49" fontId="0" fillId="16" borderId="13" xfId="0" applyFont="1" applyFill="1" applyBorder="1" applyNumberFormat="1">
      <alignment vertical="top"/>
    </xf>
    <xf numFmtId="49" fontId="0" fillId="16" borderId="18" xfId="0" applyFont="1" applyFill="1" applyBorder="1" applyNumberFormat="1">
      <alignment vertical="top"/>
    </xf>
    <xf numFmtId="49" fontId="0" fillId="44" borderId="18" xfId="0" applyFont="1" applyFill="1" applyBorder="1" applyNumberFormat="1">
      <alignment vertical="top"/>
    </xf>
    <xf numFmtId="0" fontId="23"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5" xfId="0" applyFont="1" applyBorder="1" applyNumberFormat="1">
      <alignment vertical="top"/>
    </xf>
    <xf numFmtId="49" fontId="0" fillId="0" borderId="15" xfId="0" applyFont="1" applyBorder="1" applyNumberFormat="1">
      <alignment horizontal="center" vertical="top"/>
    </xf>
    <xf numFmtId="49" fontId="0" fillId="0" borderId="16" xfId="0" applyFont="1" applyBorder="1" applyNumberFormat="1">
      <alignment horizontal="center" vertical="top"/>
    </xf>
    <xf numFmtId="49" fontId="0" fillId="5" borderId="13" xfId="0" applyFont="1" applyFill="1" applyBorder="1" applyNumberFormat="1">
      <alignment vertical="top"/>
    </xf>
    <xf numFmtId="49" fontId="0" fillId="45" borderId="13" xfId="0" applyFont="1" applyFill="1" applyBorder="1" applyNumberFormat="1">
      <alignment vertical="top"/>
    </xf>
    <xf numFmtId="49" fontId="0" fillId="3" borderId="13"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center" vertical="center" wrapText="1"/>
    </xf>
    <xf numFmtId="0" fontId="36" fillId="37" borderId="0" xfId="0" applyFont="1" applyFill="1" applyNumberFormat="1">
      <alignment vertical="center" wrapText="1"/>
    </xf>
    <xf numFmtId="0" fontId="34" fillId="0" borderId="0" xfId="0" applyFont="1" applyNumberFormat="1">
      <alignment horizontal="left" vertical="center" indent="1"/>
    </xf>
    <xf numFmtId="0" fontId="0" fillId="37" borderId="0" xfId="0" applyFont="1" applyFill="1" applyNumberFormat="1">
      <alignment horizontal="right" vertical="center" wrapText="1" indent="1"/>
    </xf>
    <xf numFmtId="0" fontId="0" fillId="37" borderId="0" xfId="0" applyFont="1" applyFill="1" applyNumberFormat="1">
      <alignment horizontal="left" vertical="center" wrapText="1" indent="1"/>
    </xf>
    <xf numFmtId="14" fontId="23" fillId="37" borderId="0" xfId="0" applyFont="1" applyFill="1" applyNumberFormat="1">
      <alignment horizontal="center" vertical="center" wrapText="1"/>
    </xf>
    <xf numFmtId="165" fontId="23" fillId="0" borderId="15" xfId="0" applyFont="1" applyBorder="1" applyNumberFormat="1">
      <alignment horizontal="center" vertical="center" wrapText="1"/>
    </xf>
    <xf numFmtId="49" fontId="43"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24" xfId="0" applyFont="1" applyBorder="1" applyNumberFormat="1">
      <alignment horizontal="center" vertical="center" wrapText="1"/>
    </xf>
    <xf numFmtId="49" fontId="0" fillId="46" borderId="13" xfId="0" applyFont="1" applyFill="1" applyBorder="1" applyNumberFormat="1">
      <alignment vertical="top"/>
    </xf>
    <xf numFmtId="0" fontId="44" fillId="0" borderId="0" xfId="0" applyFont="1" applyNumberFormat="1">
      <alignment horizontal="center" vertical="center" wrapText="1"/>
    </xf>
    <xf numFmtId="0" fontId="95" fillId="0" borderId="0" xfId="0" applyFont="1" applyNumberFormat="1">
      <alignment horizontal="left" vertical="center" wrapText="1"/>
    </xf>
    <xf numFmtId="0" fontId="95" fillId="0" borderId="0" xfId="0" applyFont="1" applyNumberFormat="1">
      <alignment horizontal="left" vertical="center" wrapText="1"/>
    </xf>
    <xf numFmtId="14" fontId="95" fillId="37" borderId="0" xfId="0" applyFont="1" applyFill="1" applyNumberFormat="1">
      <alignment horizontal="left" vertical="center" wrapText="1"/>
    </xf>
    <xf numFmtId="14" fontId="96" fillId="0" borderId="0" xfId="0" applyFont="1" applyNumberFormat="1">
      <alignment horizontal="center" vertical="center" wrapText="1"/>
    </xf>
    <xf numFmtId="0" fontId="95" fillId="0" borderId="0" xfId="0" applyFont="1" applyNumberFormat="1">
      <alignment horizontal="left" vertical="center" wrapText="1"/>
    </xf>
    <xf numFmtId="14" fontId="97" fillId="0" borderId="13" xfId="0" applyFont="1" applyBorder="1" applyNumberFormat="1">
      <alignment horizontal="left" vertical="center" wrapText="1"/>
    </xf>
    <xf numFmtId="0" fontId="54" fillId="0" borderId="0" xfId="0" applyFont="1" applyNumberFormat="1">
      <alignment vertical="center"/>
    </xf>
    <xf numFmtId="49" fontId="23" fillId="39" borderId="20" xfId="0" applyFont="1" applyFill="1" applyBorder="1" applyNumberFormat="1">
      <alignment horizontal="center" vertical="center" wrapText="1"/>
    </xf>
    <xf numFmtId="49" fontId="23" fillId="38" borderId="24" xfId="0" applyFont="1" applyFill="1" applyBorder="1" applyNumberFormat="1">
      <alignment horizontal="center" vertical="center" wrapText="1"/>
    </xf>
    <xf numFmtId="49" fontId="53" fillId="0" borderId="13" xfId="0" applyFont="1" applyBorder="1" applyNumberFormat="1">
      <alignment horizontal="left" vertical="center" wrapText="1"/>
    </xf>
    <xf numFmtId="14" fontId="23" fillId="42" borderId="24" xfId="0" applyFont="1" applyFill="1" applyBorder="1" applyNumberFormat="1">
      <alignment horizontal="left" vertical="center" wrapText="1" indent="1"/>
    </xf>
    <xf numFmtId="49" fontId="23" fillId="39" borderId="15" xfId="0" applyFont="1" applyFill="1" applyBorder="1" applyNumberFormat="1">
      <alignment horizontal="right" vertical="center" wrapText="1"/>
    </xf>
    <xf numFmtId="0" fontId="54" fillId="0" borderId="24" xfId="0" applyFont="1" applyBorder="1" applyNumberFormat="1">
      <alignment horizontal="center" vertical="center" wrapText="1"/>
    </xf>
    <xf numFmtId="49" fontId="23" fillId="0" borderId="14" xfId="0" applyFont="1" applyBorder="1" applyNumberFormat="1">
      <alignment horizontal="center" vertical="top"/>
    </xf>
    <xf numFmtId="49" fontId="23" fillId="0" borderId="13" xfId="0" applyFont="1" applyBorder="1" applyNumberFormat="1">
      <alignment horizontal="center" vertical="top"/>
    </xf>
    <xf numFmtId="0" fontId="23" fillId="0" borderId="24" xfId="0" applyFont="1" applyBorder="1" applyNumberFormat="1">
      <alignment horizontal="center" vertical="center" wrapText="1"/>
    </xf>
    <xf numFmtId="49" fontId="23" fillId="0" borderId="15" xfId="0" applyFont="1" applyBorder="1" applyNumberFormat="1">
      <alignment horizontal="center" vertical="top"/>
    </xf>
    <xf numFmtId="0" fontId="43" fillId="0" borderId="25" xfId="0" applyFont="1" applyBorder="1" applyNumberFormat="1">
      <alignment vertical="top" wrapText="1"/>
    </xf>
    <xf numFmtId="0" fontId="43" fillId="0" borderId="0" xfId="0" applyFont="1" applyNumberFormat="1">
      <alignment vertical="top" wrapText="1"/>
    </xf>
    <xf numFmtId="0" fontId="54" fillId="0" borderId="13" xfId="0" applyFont="1" applyBorder="1" applyNumberFormat="1">
      <alignment horizontal="center" vertical="center" wrapText="1"/>
    </xf>
    <xf numFmtId="0" fontId="53" fillId="0" borderId="24" xfId="0" applyFont="1" applyBorder="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0" fontId="53" fillId="0" borderId="23" xfId="0" applyFont="1" applyBorder="1" applyNumberFormat="1">
      <alignment vertical="center"/>
    </xf>
    <xf numFmtId="0" fontId="23" fillId="0" borderId="14"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3" fontId="23" fillId="33" borderId="15" xfId="0" applyFont="1" applyFill="1" applyBorder="1" applyNumberFormat="1">
      <alignment horizontal="right" vertical="center" wrapText="1"/>
      <protection locked="0"/>
    </xf>
    <xf numFmtId="49" fontId="34" fillId="33" borderId="13" xfId="0" applyFont="1" applyFill="1" applyBorder="1" applyNumberFormat="1">
      <alignment horizontal="left" vertical="center" wrapText="1"/>
      <protection locked="0"/>
    </xf>
    <xf numFmtId="0" fontId="34" fillId="0" borderId="0" xfId="0" applyFont="1" applyNumberFormat="1">
      <alignment vertical="center" wrapText="1"/>
    </xf>
    <xf numFmtId="0" fontId="23" fillId="0" borderId="14" xfId="0" applyFont="1" applyBorder="1" applyNumberFormat="1">
      <alignment horizontal="center" vertical="center" wrapText="1"/>
    </xf>
    <xf numFmtId="0" fontId="23" fillId="0" borderId="13" xfId="0" applyFont="1" applyBorder="1" applyNumberFormat="1">
      <alignment horizontal="center"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horizontal="left" vertical="center" wrapText="1" indent="1"/>
    </xf>
    <xf numFmtId="0" fontId="85" fillId="0" borderId="18" xfId="0" applyFont="1" applyBorder="1" applyNumberFormat="1">
      <alignment horizontal="center" vertical="center" wrapText="1"/>
    </xf>
    <xf numFmtId="49" fontId="53" fillId="0" borderId="0" xfId="0" applyFont="1" applyNumberFormat="1">
      <alignment vertical="top"/>
    </xf>
    <xf numFmtId="0" fontId="98" fillId="0" borderId="0" xfId="0" applyFont="1" applyNumberFormat="1">
      <alignment vertical="center" wrapText="1"/>
    </xf>
    <xf numFmtId="0" fontId="0" fillId="0" borderId="0" xfId="0" applyFont="1" applyNumberFormat="1">
      <alignment vertical="top"/>
    </xf>
    <xf numFmtId="49" fontId="0" fillId="0" borderId="13" xfId="0" applyFont="1" applyBorder="1" applyNumberFormat="1">
      <alignment vertical="top"/>
    </xf>
    <xf numFmtId="49" fontId="23" fillId="0" borderId="0" xfId="0" applyFont="1" applyNumberFormat="1">
      <alignment vertical="top"/>
    </xf>
    <xf numFmtId="0" fontId="23" fillId="0" borderId="13" xfId="0" applyFont="1" applyBorder="1" applyNumberFormat="1">
      <alignment horizontal="left" vertical="top" wrapText="1"/>
    </xf>
    <xf numFmtId="49" fontId="99" fillId="0" borderId="0" xfId="0" applyFont="1" applyNumberFormat="1">
      <alignment horizontal="center" vertical="top" wrapText="1"/>
    </xf>
    <xf numFmtId="49" fontId="99" fillId="0" borderId="0" xfId="0" applyFont="1" applyNumberFormat="1">
      <alignment vertical="top" wrapText="1"/>
    </xf>
    <xf numFmtId="49" fontId="95" fillId="34" borderId="13" xfId="0" applyFont="1" applyFill="1" applyBorder="1" applyNumberFormat="1">
      <alignment horizontal="center" vertical="top" wrapText="1"/>
    </xf>
    <xf numFmtId="49" fontId="99" fillId="0" borderId="0" xfId="0" applyFont="1" applyNumberFormat="1">
      <alignment horizontal="left" vertical="top" wrapText="1"/>
    </xf>
    <xf numFmtId="49" fontId="99" fillId="0" borderId="13" xfId="0" applyFont="1" applyBorder="1" applyNumberFormat="1">
      <alignment horizontal="left" vertical="top" wrapText="1"/>
    </xf>
    <xf numFmtId="0" fontId="99" fillId="0" borderId="13" xfId="0" applyFont="1" applyBorder="1" applyNumberFormat="1">
      <alignment horizontal="left" vertical="top" wrapText="1"/>
    </xf>
    <xf numFmtId="0" fontId="99" fillId="34" borderId="13" xfId="0" applyFont="1" applyFill="1" applyBorder="1" applyNumberFormat="1">
      <alignment horizontal="right" vertical="center" wrapText="1"/>
    </xf>
    <xf numFmtId="49" fontId="99" fillId="0" borderId="13" xfId="0" applyFont="1" applyBorder="1" applyNumberFormat="1">
      <alignment vertical="top" wrapText="1"/>
    </xf>
    <xf numFmtId="0" fontId="99" fillId="0" borderId="18" xfId="0" applyFont="1" applyBorder="1" applyNumberFormat="1">
      <alignment horizontal="left" vertical="top" wrapText="1"/>
    </xf>
    <xf numFmtId="0" fontId="99" fillId="0" borderId="14" xfId="0" applyFont="1" applyBorder="1" applyNumberFormat="1">
      <alignment horizontal="left" vertical="top" wrapText="1"/>
    </xf>
    <xf numFmtId="0" fontId="99" fillId="0" borderId="13" xfId="0" applyFont="1" applyBorder="1" applyNumberFormat="1">
      <alignment vertical="top" wrapText="1"/>
    </xf>
    <xf numFmtId="0" fontId="95" fillId="34" borderId="13" xfId="0" applyFont="1" applyFill="1" applyBorder="1" applyNumberFormat="1">
      <alignment horizontal="center" vertical="top" wrapText="1"/>
    </xf>
    <xf numFmtId="0" fontId="99" fillId="0" borderId="0" xfId="0" applyFont="1" applyNumberFormat="1">
      <alignment vertical="top" wrapText="1"/>
    </xf>
    <xf numFmtId="0" fontId="94" fillId="0" borderId="0" xfId="0" applyFont="1" applyNumberFormat="1">
      <alignment vertical="center" wrapText="1"/>
    </xf>
    <xf numFmtId="0" fontId="22" fillId="0" borderId="0" xfId="0" applyFont="1" applyNumberFormat="1">
      <alignment horizontal="left" vertical="center" wrapText="1" indent="3"/>
    </xf>
    <xf numFmtId="3" fontId="0" fillId="0" borderId="14" xfId="0" applyFont="1" applyBorder="1" applyNumberFormat="1">
      <alignment horizontal="right" vertical="center" wrapText="1"/>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9" fontId="77" fillId="39" borderId="14" xfId="0" applyFont="1" applyFill="1" applyBorder="1" applyNumberFormat="1">
      <alignment vertical="center"/>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49" fontId="23" fillId="41" borderId="13" xfId="0" applyFont="1" applyFill="1" applyBorder="1" applyNumberFormat="1" quotePrefix="1">
      <alignment horizontal="left" vertical="center" wrapText="1"/>
      <protection locked="0"/>
    </xf>
    <xf numFmtId="14" fontId="23" fillId="42" borderId="24" xfId="0" applyFont="1" applyFill="1" applyBorder="1" applyNumberFormat="1">
      <alignment horizontal="left" vertical="center" wrapText="1"/>
    </xf>
    <xf numFmtId="0" fontId="54" fillId="37" borderId="24" xfId="0" applyFont="1" applyFill="1" applyBorder="1" applyNumberFormat="1">
      <alignment horizontal="center" vertical="center" wrapText="1"/>
    </xf>
    <xf numFmtId="0" fontId="44" fillId="37" borderId="25" xfId="0" applyFont="1" applyFill="1" applyBorder="1" applyNumberFormat="1">
      <alignment vertical="top" wrapText="1"/>
    </xf>
    <xf numFmtId="0" fontId="44" fillId="37" borderId="0" xfId="0" applyFont="1" applyFill="1" applyNumberFormat="1">
      <alignment vertical="top" wrapText="1"/>
    </xf>
    <xf numFmtId="14" fontId="23" fillId="42" borderId="30" xfId="0" applyFont="1" applyFill="1" applyBorder="1" applyNumberFormat="1">
      <alignment horizontal="left" vertical="center" wrapText="1"/>
    </xf>
    <xf numFmtId="0" fontId="54" fillId="37" borderId="13" xfId="0" applyFont="1" applyFill="1" applyBorder="1" applyNumberFormat="1">
      <alignment horizontal="center" vertical="center" wrapText="1"/>
    </xf>
    <xf numFmtId="0" fontId="47" fillId="39" borderId="16" xfId="0" applyFont="1" applyFill="1" applyBorder="1" applyNumberFormat="1">
      <alignment vertical="center"/>
    </xf>
    <xf numFmtId="0" fontId="55" fillId="0" borderId="0" xfId="0" applyFont="1" applyNumberFormat="1">
      <alignment vertical="center"/>
    </xf>
    <xf numFmtId="0" fontId="5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0" fontId="92" fillId="0" borderId="0" xfId="0" applyFont="1" applyNumberFormat="1">
      <alignment vertical="center" wrapText="1"/>
    </xf>
    <xf numFmtId="0" fontId="100" fillId="0" borderId="0" xfId="0" applyFont="1" applyNumberFormat="1">
      <alignment vertical="center" wrapText="1"/>
    </xf>
    <xf numFmtId="0" fontId="53" fillId="0" borderId="0" xfId="0" applyFont="1" applyNumberFormat="1">
      <alignment vertical="center" wrapText="1"/>
    </xf>
    <xf numFmtId="0" fontId="92" fillId="0" borderId="0" xfId="0" applyFont="1" applyNumberFormat="1">
      <alignment horizontal="center" vertical="center" wrapText="1"/>
    </xf>
    <xf numFmtId="0" fontId="53" fillId="0" borderId="0" xfId="0" applyFont="1" applyNumberFormat="1">
      <alignment vertical="center" wrapText="1"/>
    </xf>
    <xf numFmtId="14" fontId="23" fillId="37" borderId="0" xfId="0" applyFont="1" applyFill="1" applyNumberFormat="1">
      <alignment horizontal="left" vertical="center" wrapText="1"/>
    </xf>
    <xf numFmtId="49" fontId="0" fillId="5" borderId="15" xfId="0" applyFont="1" applyFill="1" applyBorder="1" applyNumberFormat="1">
      <alignment vertical="top"/>
    </xf>
    <xf numFmtId="49" fontId="0" fillId="0" borderId="13" xfId="0" applyFont="1" applyBorder="1" applyNumberFormat="1">
      <alignment horizontal="left" vertical="center" wrapText="1"/>
    </xf>
    <xf numFmtId="49" fontId="23" fillId="0" borderId="0" xfId="0" applyFont="1" applyNumberFormat="1">
      <alignment vertical="center" wrapText="1"/>
    </xf>
    <xf numFmtId="0" fontId="0" fillId="0" borderId="13" xfId="0" applyFont="1" applyBorder="1" applyNumberFormat="1">
      <alignment horizontal="left" vertical="center" wrapText="1" indent="1"/>
    </xf>
    <xf numFmtId="49" fontId="0"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101" fillId="37" borderId="0" xfId="0" applyFont="1" applyFill="1" applyNumberFormat="1">
      <alignment horizontal="right" vertical="center"/>
    </xf>
    <xf numFmtId="49" fontId="99" fillId="0" borderId="14" xfId="0" applyFont="1" applyBorder="1" applyNumberFormat="1">
      <alignment horizontal="left" vertical="top" wrapText="1"/>
    </xf>
    <xf numFmtId="49" fontId="99" fillId="0" borderId="15" xfId="0" applyFont="1" applyBorder="1" applyNumberFormat="1">
      <alignment horizontal="left" vertical="top" wrapText="1"/>
    </xf>
    <xf numFmtId="0" fontId="99" fillId="0" borderId="18" xfId="0" applyFont="1" applyBorder="1" applyNumberFormat="1">
      <alignment vertical="top" wrapText="1"/>
    </xf>
    <xf numFmtId="0" fontId="99" fillId="0" borderId="37" xfId="0" applyFont="1" applyBorder="1" applyNumberFormat="1">
      <alignment horizontal="left" vertical="top" wrapText="1"/>
    </xf>
    <xf numFmtId="49" fontId="99" fillId="0" borderId="31" xfId="0" applyFont="1" applyBorder="1" applyNumberFormat="1">
      <alignment horizontal="left" vertical="top" wrapTex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13" xfId="0" applyFont="1" applyBorder="1" applyNumberFormat="1">
      <alignment horizontal="left" vertical="center" wrapText="1"/>
    </xf>
    <xf numFmtId="49" fontId="99" fillId="0" borderId="13" xfId="0" applyFont="1" applyBorder="1" applyNumberFormat="1">
      <alignment horizontal="center" vertical="top" wrapText="1"/>
    </xf>
    <xf numFmtId="0" fontId="99" fillId="34" borderId="13" xfId="0" applyFont="1" applyFill="1" applyBorder="1" applyNumberFormat="1">
      <alignment horizontal="center" vertical="center" wrapText="1"/>
    </xf>
    <xf numFmtId="49" fontId="99" fillId="0" borderId="38" xfId="0" applyFont="1" applyBorder="1" applyNumberFormat="1">
      <alignment horizontal="center" vertical="top" wrapText="1"/>
    </xf>
    <xf numFmtId="49" fontId="99" fillId="0" borderId="18" xfId="0" applyFont="1" applyBorder="1" applyNumberFormat="1">
      <alignment horizontal="center" vertical="top" wrapText="1"/>
    </xf>
    <xf numFmtId="49" fontId="47" fillId="39" borderId="15" xfId="0" applyFont="1" applyFill="1" applyBorder="1" applyNumberFormat="1">
      <alignment horizontal="left" vertical="center" inden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102"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0" fontId="23" fillId="0" borderId="39" xfId="0" applyFont="1" applyBorder="1" applyNumberFormat="1">
      <alignment vertical="center" wrapText="1"/>
    </xf>
    <xf numFmtId="0" fontId="53"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39" borderId="30" xfId="0" applyFont="1" applyFill="1" applyBorder="1" applyNumberFormat="1">
      <alignment vertical="center" wrapText="1"/>
    </xf>
    <xf numFmtId="0" fontId="23" fillId="0" borderId="0" xfId="0" applyFont="1" applyNumberFormat="1">
      <alignment vertical="center" wrapText="1"/>
    </xf>
    <xf numFmtId="0" fontId="23" fillId="37" borderId="40" xfId="0" applyFont="1" applyFill="1" applyBorder="1" applyNumberFormat="1">
      <alignment vertical="center" wrapText="1"/>
    </xf>
    <xf numFmtId="0" fontId="36" fillId="37" borderId="40" xfId="0" applyFont="1" applyFill="1" applyBorder="1" applyNumberFormat="1">
      <alignment horizontal="center" wrapText="1"/>
    </xf>
    <xf numFmtId="49" fontId="77" fillId="0" borderId="40" xfId="0" applyFont="1" applyBorder="1" applyNumberFormat="1">
      <alignment vertical="top"/>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wrapText="1"/>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0" fontId="52" fillId="0" borderId="0" xfId="0" applyFont="1" applyNumberFormat="1">
      <alignment horizontal="center" vertical="center" wrapText="1"/>
    </xf>
    <xf numFmtId="49" fontId="103" fillId="0" borderId="0" xfId="0" applyFont="1" applyNumberFormat="1">
      <alignment vertical="center" wrapText="1"/>
    </xf>
    <xf numFmtId="49" fontId="52" fillId="37" borderId="0" xfId="0" applyFont="1" applyFill="1" applyNumberFormat="1">
      <alignment vertical="center" wrapText="1"/>
    </xf>
    <xf numFmtId="49" fontId="52" fillId="0" borderId="0" xfId="0" applyFont="1" applyNumberFormat="1">
      <alignment vertical="top"/>
    </xf>
    <xf numFmtId="49" fontId="52" fillId="37" borderId="0" xfId="0" applyFont="1" applyFill="1" applyNumberFormat="1">
      <alignment vertical="center"/>
    </xf>
    <xf numFmtId="49" fontId="10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3" fontId="52" fillId="33" borderId="13" xfId="0" applyFont="1" applyFill="1" applyBorder="1" applyNumberFormat="1">
      <alignment horizontal="right" vertical="center"/>
      <protection locked="0"/>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9" fontId="23" fillId="37" borderId="0" xfId="0" applyFont="1" applyFill="1" applyNumberFormat="1">
      <alignment horizontal="center" vertical="center" wrapText="1"/>
    </xf>
    <xf numFmtId="49" fontId="54" fillId="0" borderId="14" xfId="0" applyFont="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49" fontId="95" fillId="0" borderId="13" xfId="0" applyFont="1" applyBorder="1" applyNumberFormat="1">
      <alignment horizontal="center" vertical="center" wrapText="1"/>
    </xf>
    <xf numFmtId="0" fontId="95" fillId="0" borderId="13" xfId="0" applyFont="1" applyBorder="1" applyNumberFormat="1">
      <alignment horizontal="center" vertical="center"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23" xfId="0" applyFont="1" applyBorder="1" applyNumberFormat="1">
      <alignment horizontal="center" vertical="top" wrapText="1"/>
    </xf>
    <xf numFmtId="49" fontId="99" fillId="0" borderId="37" xfId="0" applyFont="1" applyBorder="1" applyNumberFormat="1">
      <alignment horizontal="left" vertical="top" wrapText="1"/>
    </xf>
    <xf numFmtId="0" fontId="95" fillId="0" borderId="13" xfId="0" applyFont="1" applyBorder="1" applyNumberFormat="1">
      <alignment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5" fillId="0" borderId="13" xfId="0" applyFont="1" applyBorder="1" applyNumberFormat="1">
      <alignment horizontal="left" vertical="top" wrapText="1"/>
    </xf>
    <xf numFmtId="166" fontId="23" fillId="41" borderId="18" xfId="0" applyFont="1" applyFill="1" applyBorder="1" applyNumberFormat="1">
      <alignment horizontal="right" vertical="center" wrapText="1"/>
      <protection locked="0"/>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76" fillId="0" borderId="0" xfId="0" applyFont="1" applyNumberFormat="1">
      <alignment horizontal="center" vertical="center" wrapText="1"/>
    </xf>
    <xf numFmtId="4" fontId="23" fillId="41" borderId="14" xfId="0" applyFont="1" applyFill="1" applyBorder="1" applyNumberFormat="1">
      <alignment horizontal="right" vertical="center" wrapText="1"/>
      <protection locked="0"/>
    </xf>
    <xf numFmtId="166" fontId="23" fillId="41" borderId="14" xfId="0" applyFont="1" applyFill="1" applyBorder="1" applyNumberFormat="1">
      <alignment horizontal="right" vertical="center" wrapText="1"/>
      <protection locked="0"/>
    </xf>
    <xf numFmtId="166" fontId="23" fillId="38" borderId="14" xfId="0" applyFont="1" applyFill="1" applyBorder="1" applyNumberFormat="1">
      <alignment horizontal="right" vertical="center" wrapText="1"/>
    </xf>
    <xf numFmtId="4" fontId="23" fillId="41" borderId="30" xfId="0" applyFont="1" applyFill="1" applyBorder="1" applyNumberFormat="1">
      <alignment horizontal="right" vertical="center" wrapText="1"/>
      <protection locked="0"/>
    </xf>
    <xf numFmtId="49" fontId="95" fillId="34" borderId="13" xfId="0" applyFont="1" applyFill="1" applyBorder="1" applyNumberFormat="1">
      <alignment horizontal="center" vertical="top"/>
    </xf>
    <xf numFmtId="49" fontId="99" fillId="0" borderId="0" xfId="0" applyFont="1" applyNumberFormat="1">
      <alignment vertical="top"/>
    </xf>
    <xf numFmtId="49" fontId="95" fillId="0" borderId="13" xfId="0" applyFont="1" applyBorder="1" applyNumberFormat="1">
      <alignment horizontal="center" vertical="top" wrapText="1"/>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49" fontId="95" fillId="0" borderId="0" xfId="0" applyFont="1" applyNumberFormat="1">
      <alignment horizontal="center" vertical="center" wrapText="1"/>
    </xf>
    <xf numFmtId="49" fontId="95" fillId="0" borderId="0" xfId="0" applyFont="1" applyNumberFormat="1">
      <alignment horizontal="left" vertical="center" wrapText="1"/>
    </xf>
    <xf numFmtId="49" fontId="95" fillId="47" borderId="0" xfId="0" applyFont="1" applyFill="1" applyNumberFormat="1">
      <alignment horizontal="center" vertical="center" wrapText="1"/>
    </xf>
    <xf numFmtId="0" fontId="95" fillId="0" borderId="0" xfId="0" applyFont="1" applyNumberFormat="1">
      <alignmen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0" fontId="54" fillId="0" borderId="24" xfId="0" applyFont="1" applyBorder="1" applyNumberFormat="1">
      <alignment horizontal="left" vertical="center" wrapText="1" indent="1"/>
    </xf>
    <xf numFmtId="0" fontId="54" fillId="0" borderId="18" xfId="0" applyFont="1" applyBorder="1" applyNumberFormat="1">
      <alignment horizontal="left" vertical="center" wrapText="1" indent="1"/>
    </xf>
    <xf numFmtId="49" fontId="99" fillId="34" borderId="13" xfId="0" applyFont="1" applyFill="1" applyBorder="1" applyNumberFormat="1">
      <alignment horizontal="center" vertical="top" wrapText="1"/>
    </xf>
    <xf numFmtId="49" fontId="99" fillId="34" borderId="13" xfId="0" applyFont="1" applyFill="1" applyBorder="1" applyNumberFormat="1">
      <alignment horizontal="left" vertical="top" wrapText="1"/>
    </xf>
    <xf numFmtId="49" fontId="99" fillId="34" borderId="0" xfId="0" applyFont="1" applyFill="1" applyNumberFormat="1">
      <alignment horizontal="left" vertical="top" wrapText="1"/>
    </xf>
    <xf numFmtId="0" fontId="95" fillId="0" borderId="15" xfId="0" applyFont="1" applyBorder="1" applyNumberFormat="1">
      <alignment horizontal="center" vertical="center" wrapText="1"/>
    </xf>
    <xf numFmtId="0" fontId="23" fillId="0" borderId="24" xfId="0" applyFont="1" applyBorder="1" applyNumberFormat="1">
      <alignment vertical="top" wrapText="1"/>
    </xf>
    <xf numFmtId="0" fontId="23" fillId="0" borderId="24" xfId="0" applyFont="1" applyBorder="1" applyNumberFormat="1">
      <alignment vertical="top" wrapText="1"/>
    </xf>
    <xf numFmtId="0" fontId="95" fillId="0" borderId="15" xfId="0" applyFont="1" applyBorder="1" applyNumberFormat="1">
      <alignment horizontal="center" vertical="center"/>
    </xf>
    <xf numFmtId="49" fontId="54" fillId="37" borderId="13" xfId="0" applyFont="1" applyFill="1" applyBorder="1" applyNumberFormat="1">
      <alignment horizontal="center" vertical="center"/>
    </xf>
    <xf numFmtId="0" fontId="54" fillId="37" borderId="13" xfId="0" applyFont="1" applyFill="1" applyBorder="1" applyNumberFormat="1">
      <alignment horizontal="left" vertical="center" wrapText="1" indent="1"/>
    </xf>
    <xf numFmtId="0" fontId="54" fillId="37" borderId="13" xfId="0" applyFont="1" applyFill="1" applyBorder="1" applyNumberFormat="1">
      <alignment vertical="center" wrapText="1"/>
    </xf>
    <xf numFmtId="49" fontId="54" fillId="0" borderId="13" xfId="0" applyFont="1" applyBorder="1" applyNumberFormat="1">
      <alignment horizontal="center" vertical="center"/>
    </xf>
    <xf numFmtId="0" fontId="54" fillId="0" borderId="13" xfId="0" applyFont="1" applyBorder="1" applyNumberFormat="1">
      <alignment horizontal="left" vertical="center" wrapText="1" inden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2" fontId="23" fillId="0" borderId="24" xfId="0" applyFont="1" applyBorder="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23" fillId="0" borderId="24" xfId="0" applyFont="1" applyBorder="1" applyNumberFormat="1">
      <alignment horizontal="left"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49" fontId="34" fillId="0" borderId="15" xfId="0" applyFont="1" applyBorder="1" applyNumberFormat="1">
      <alignment horizontal="left" vertical="center" wrapText="1"/>
    </xf>
    <xf numFmtId="49" fontId="34" fillId="0" borderId="16" xfId="0" applyFont="1" applyBorder="1" applyNumberFormat="1">
      <alignment horizontal="left"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 fontId="23" fillId="0" borderId="18" xfId="0" applyFont="1" applyBorder="1" applyNumberFormat="1">
      <alignment horizontal="center" vertical="center" wrapText="1"/>
    </xf>
    <xf numFmtId="4" fontId="23" fillId="0" borderId="33" xfId="0" applyFont="1" applyBorder="1" applyNumberFormat="1">
      <alignment horizontal="center" vertical="center" wrapText="1"/>
    </xf>
    <xf numFmtId="49" fontId="34" fillId="0" borderId="38" xfId="0" applyFont="1" applyBorder="1" applyNumberFormat="1">
      <alignment horizontal="left" vertical="center" wrapText="1"/>
    </xf>
    <xf numFmtId="49" fontId="34" fillId="0" borderId="31" xfId="0" applyFont="1" applyBorder="1" applyNumberFormat="1">
      <alignment horizontal="left" vertical="center" wrapText="1"/>
    </xf>
    <xf numFmtId="0" fontId="23" fillId="0" borderId="37" xfId="0" applyFont="1" applyBorder="1" applyNumberFormat="1">
      <alignment vertical="center" wrapText="1"/>
    </xf>
    <xf numFmtId="0" fontId="23" fillId="0" borderId="33" xfId="0" applyFont="1" applyBorder="1" applyNumberFormat="1">
      <alignment horizontal="left" vertical="center" wrapText="1"/>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1"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13" xfId="0" applyFont="1" applyBorder="1" applyNumberFormat="1">
      <alignment horizontal="left" vertical="center" wrapText="1"/>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0" fontId="54" fillId="0" borderId="13" xfId="0" applyFont="1" applyBorder="1" applyNumberFormat="1">
      <alignment horizontal="left" vertical="center" indent="1"/>
    </xf>
    <xf numFmtId="49" fontId="47" fillId="0" borderId="20" xfId="0" applyFont="1" applyBorder="1" applyNumberFormat="1">
      <alignment horizontal="right" vertical="center"/>
    </xf>
    <xf numFmtId="0" fontId="23" fillId="42" borderId="13" xfId="0" applyFont="1" applyFill="1" applyBorder="1" applyNumberFormat="1">
      <alignment horizontal="left" vertical="center" wrapText="1" inden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0" fontId="65" fillId="37" borderId="0" xfId="0" applyFont="1" applyFill="1" applyNumberFormat="1">
      <alignment horizontal="left" vertical="center" wrapText="1" indent="1"/>
    </xf>
    <xf numFmtId="0" fontId="23" fillId="0" borderId="0" xfId="0" applyFont="1" applyNumberFormat="1">
      <alignment horizontal="left" vertical="center" wrapText="1" indent="1"/>
    </xf>
    <xf numFmtId="49" fontId="34" fillId="33" borderId="14"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0" xfId="0" applyFont="1" applyBorder="1" applyNumberFormat="1">
      <alignment vertical="center" wrapText="1"/>
    </xf>
    <xf numFmtId="0" fontId="23" fillId="0" borderId="28" xfId="0" applyFont="1" applyBorder="1" applyNumberFormat="1">
      <alignment vertical="center" wrapText="1"/>
    </xf>
    <xf numFmtId="49" fontId="23" fillId="39" borderId="42" xfId="0" applyFont="1" applyFill="1" applyBorder="1" applyNumberFormat="1">
      <alignment horizontal="center" vertical="center" wrapText="1"/>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52" fillId="0" borderId="0" xfId="0" applyFont="1" applyNumberFormat="1">
      <alignment vertical="top"/>
    </xf>
    <xf numFmtId="49" fontId="52" fillId="0" borderId="0" xfId="0" applyFont="1" applyNumberFormat="1">
      <alignment vertical="center" wrapText="1"/>
    </xf>
    <xf numFmtId="0" fontId="52" fillId="0" borderId="0" xfId="0" applyFont="1" applyNumberFormat="1">
      <alignment vertical="center" wrapText="1"/>
    </xf>
    <xf numFmtId="49" fontId="98" fillId="0" borderId="0" xfId="0" applyFont="1" applyNumberFormat="1">
      <alignment vertical="center" wrapText="1"/>
    </xf>
    <xf numFmtId="49" fontId="0" fillId="0" borderId="0" xfId="0" applyFont="1" applyNumberFormat="1">
      <alignment vertical="center" wrapText="1"/>
    </xf>
    <xf numFmtId="49" fontId="39" fillId="48" borderId="0" xfId="0" applyFont="1" applyFill="1" applyNumberFormat="1">
      <alignment horizontal="center" vertical="center"/>
    </xf>
    <xf numFmtId="0" fontId="0" fillId="49" borderId="0" xfId="0" applyFont="1" applyFill="1" applyNumberFormat="1">
      <alignment horizontal="left" vertical="center"/>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49" fontId="23" fillId="0" borderId="45" xfId="0" applyFont="1" applyBorder="1" applyNumberFormat="1">
      <alignment vertical="center"/>
    </xf>
    <xf numFmtId="49" fontId="23" fillId="0" borderId="46"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49" fontId="23" fillId="0" borderId="13"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5"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3" xfId="0" applyFont="1" applyBorder="1" applyNumberFormat="1">
      <alignment vertical="top"/>
    </xf>
    <xf numFmtId="49" fontId="0" fillId="0" borderId="15" xfId="0" applyFont="1" applyBorder="1" applyNumberFormat="1">
      <alignmen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49" fontId="23" fillId="34" borderId="24" xfId="0" applyFont="1" applyFill="1" applyBorder="1" applyNumberFormat="1">
      <alignment vertical="top"/>
    </xf>
    <xf numFmtId="49" fontId="23" fillId="34" borderId="13" xfId="0" applyFont="1" applyFill="1" applyBorder="1" applyNumberFormat="1">
      <alignment vertical="top"/>
    </xf>
    <xf numFmtId="0" fontId="0" fillId="0" borderId="33" xfId="0" applyFont="1" applyBorder="1" applyNumberFormat="1">
      <alignment horizontal="center" vertical="center"/>
    </xf>
    <xf numFmtId="0" fontId="0" fillId="0" borderId="32" xfId="0" applyFont="1" applyBorder="1" applyNumberFormat="1">
      <alignment horizontal="center" vertical="center"/>
    </xf>
    <xf numFmtId="49" fontId="0" fillId="0" borderId="0" xfId="0" applyFont="1" applyNumberFormat="1">
      <alignment vertical="center"/>
    </xf>
    <xf numFmtId="49" fontId="39" fillId="48" borderId="15" xfId="0" applyFont="1" applyFill="1" applyBorder="1" applyNumberFormat="1">
      <alignment horizontal="right" vertical="center"/>
    </xf>
    <xf numFmtId="49" fontId="23" fillId="0" borderId="0" xfId="0" applyFont="1" applyNumberFormat="1">
      <alignment vertical="center"/>
    </xf>
    <xf numFmtId="0" fontId="0" fillId="49" borderId="0" xfId="0" applyFont="1" applyFill="1" applyNumberFormat="1">
      <alignment horizontal="right" vertical="center"/>
    </xf>
    <xf numFmtId="0" fontId="107" fillId="0" borderId="48" xfId="0" applyFont="1" applyBorder="1" applyNumberFormat="1">
      <alignment horizontal="left" vertical="center" inden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23" fillId="37" borderId="0" xfId="0" applyFont="1" applyFill="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36" fillId="37" borderId="40" xfId="0" applyFont="1" applyFill="1" applyBorder="1" applyNumberFormat="1">
      <alignment horizontal="center" wrapText="1"/>
    </xf>
    <xf numFmtId="49" fontId="77" fillId="0" borderId="40" xfId="0" applyFont="1" applyBorder="1" applyNumberFormat="1">
      <alignment vertical="top"/>
    </xf>
    <xf numFmtId="0" fontId="0" fillId="0" borderId="13"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39"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7" borderId="40" xfId="0" applyFont="1" applyFill="1" applyBorder="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40" xfId="0" applyFont="1" applyFill="1" applyBorder="1" applyNumberFormat="1">
      <alignment vertical="center" wrapText="1"/>
    </xf>
    <xf numFmtId="0" fontId="23" fillId="41" borderId="13" xfId="0" applyFont="1" applyFill="1" applyBorder="1" applyNumberFormat="1">
      <alignment horizontal="left" vertical="center" wrapText="1" indent="1"/>
      <protection locked="0"/>
    </xf>
    <xf numFmtId="49" fontId="53" fillId="48"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39" fillId="0" borderId="0" xfId="0" applyFont="1" applyNumberFormat="1">
      <alignment vertical="center" wrapText="1"/>
    </xf>
    <xf numFmtId="49" fontId="23" fillId="0" borderId="0" xfId="0" applyFont="1" applyNumberFormat="1">
      <alignment vertical="top"/>
    </xf>
    <xf numFmtId="49" fontId="108" fillId="0" borderId="17" xfId="0" applyFont="1" applyBorder="1" applyNumberFormat="1">
      <alignment vertical="top"/>
    </xf>
    <xf numFmtId="0" fontId="0" fillId="0" borderId="0" xfId="0" applyFont="1" applyNumberFormat="1">
      <alignment vertical="top"/>
    </xf>
    <xf numFmtId="0" fontId="53" fillId="0" borderId="0" xfId="0" applyFont="1" applyNumberFormat="1">
      <alignment vertical="center" wrapText="1"/>
    </xf>
    <xf numFmtId="49" fontId="34" fillId="41" borderId="13" xfId="0" applyFont="1" applyFill="1" applyBorder="1" applyNumberFormat="1">
      <alignment horizontal="left" vertical="center" wrapText="1"/>
      <protection locked="0"/>
    </xf>
    <xf numFmtId="0" fontId="23" fillId="0" borderId="15" xfId="0" applyFont="1" applyBorder="1" applyNumberFormat="1">
      <alignment horizontal="left" vertical="center"/>
    </xf>
    <xf numFmtId="0" fontId="0" fillId="0" borderId="15" xfId="0" applyFont="1" applyBorder="1" applyNumberFormat="1">
      <alignment horizontal="left" vertical="center"/>
    </xf>
    <xf numFmtId="49" fontId="34" fillId="41" borderId="13" xfId="0" applyFont="1" applyFill="1" applyBorder="1" applyNumberFormat="1">
      <alignment horizontal="left" vertical="center" wrapText="1"/>
      <protection locked="0"/>
    </xf>
    <xf numFmtId="0" fontId="23" fillId="37" borderId="27" xfId="0" applyFont="1" applyFill="1" applyBorder="1" applyNumberFormat="1">
      <alignment horizontal="right" vertical="center" wrapText="1" inden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49" fontId="47" fillId="39" borderId="16" xfId="0" applyFont="1" applyFill="1" applyBorder="1" applyNumberFormat="1">
      <alignment horizontal="left" vertical="center" indent="1"/>
    </xf>
    <xf numFmtId="4" fontId="23" fillId="41" borderId="32" xfId="0" applyFont="1" applyFill="1" applyBorder="1" applyNumberFormat="1">
      <alignment horizontal="right" vertical="center" wrapText="1"/>
      <protection locked="0"/>
    </xf>
    <xf numFmtId="0" fontId="23" fillId="37" borderId="0" xfId="0" applyFont="1" applyFill="1" applyNumberFormat="1">
      <alignment vertical="center" wrapText="1"/>
    </xf>
    <xf numFmtId="0" fontId="23" fillId="0" borderId="39" xfId="0" applyFont="1" applyBorder="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98" fillId="39" borderId="44" xfId="0" applyFont="1" applyFill="1" applyBorder="1" applyNumberFormat="1">
      <alignment horizontal="center" vertical="center"/>
    </xf>
    <xf numFmtId="49" fontId="109" fillId="39" borderId="44" xfId="0" applyFont="1" applyFill="1" applyBorder="1" applyNumberFormat="1">
      <alignment horizontal="left" vertical="center" indent="1"/>
    </xf>
    <xf numFmtId="0" fontId="52" fillId="42" borderId="13" xfId="0" applyFont="1" applyFill="1" applyBorder="1" applyNumberFormat="1">
      <alignment horizontal="left" vertical="center" wrapText="1"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0" fontId="23" fillId="39" borderId="54" xfId="0" applyFont="1" applyFill="1" applyBorder="1" applyNumberFormat="1">
      <alignment vertical="center" wrapText="1"/>
    </xf>
    <xf numFmtId="0" fontId="23" fillId="37" borderId="40" xfId="0" applyFont="1" applyFill="1" applyBorder="1" applyNumberFormat="1">
      <alignment vertical="center" wrapTex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42" borderId="13" xfId="0" applyFont="1" applyFill="1" applyBorder="1" applyNumberFormat="1">
      <alignment horizontal="left" vertical="center" wrapText="1" indent="1"/>
    </xf>
    <xf numFmtId="0" fontId="0" fillId="39" borderId="51" xfId="0" applyFont="1" applyFill="1" applyBorder="1" applyNumberFormat="1">
      <alignment horizontal="left" vertical="center"/>
    </xf>
    <xf numFmtId="0" fontId="23" fillId="37" borderId="13" xfId="0" applyFont="1" applyFill="1" applyBorder="1" applyNumberFormat="1">
      <alignment horizontal="center" vertical="center" wrapText="1"/>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8"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0" fontId="23" fillId="49" borderId="0" xfId="0" applyFont="1" applyFill="1" applyNumberFormat="1">
      <alignment horizontal="lef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7" borderId="13" xfId="0" applyFont="1" applyFill="1" applyBorder="1" applyNumberFormat="1">
      <alignment horizontal="left"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xf>
    <xf numFmtId="0" fontId="23" fillId="37" borderId="20" xfId="0" applyFont="1" applyFill="1" applyBorder="1" applyNumberFormat="1">
      <alignment vertical="center" wrapText="1"/>
    </xf>
    <xf numFmtId="49" fontId="54" fillId="0" borderId="0" xfId="0" applyFont="1" applyNumberFormat="1">
      <alignment vertical="top"/>
    </xf>
    <xf numFmtId="0" fontId="54" fillId="0" borderId="40" xfId="0" applyFont="1" applyBorder="1" applyNumberFormat="1">
      <alignment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38" borderId="13" xfId="0" applyFont="1" applyFill="1" applyBorder="1" applyNumberFormat="1">
      <alignment horizontal="center" vertical="center"/>
    </xf>
    <xf numFmtId="49" fontId="23" fillId="0" borderId="23" xfId="0" applyFont="1" applyBorder="1" applyNumberFormat="1">
      <alignment vertical="top"/>
    </xf>
    <xf numFmtId="0" fontId="23" fillId="0" borderId="23" xfId="0" applyFont="1" applyBorder="1" applyNumberFormat="1">
      <alignment vertical="center" wrapText="1"/>
    </xf>
    <xf numFmtId="4" fontId="0" fillId="33" borderId="13"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0" fontId="23" fillId="0" borderId="39" xfId="0" applyFont="1" applyBorder="1" applyNumberFormat="1">
      <alignment vertical="center"/>
    </xf>
    <xf numFmtId="49" fontId="47" fillId="39" borderId="16" xfId="0" applyFont="1" applyFill="1" applyBorder="1" applyNumberFormat="1">
      <alignment horizontal="left" vertical="center" indent="1"/>
    </xf>
    <xf numFmtId="49" fontId="23" fillId="41" borderId="18"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7" borderId="28" xfId="0" applyFont="1" applyFill="1" applyBorder="1" applyNumberFormat="1">
      <alignment vertical="center" wrapText="1"/>
    </xf>
    <xf numFmtId="0" fontId="54" fillId="37" borderId="20" xfId="0" applyFont="1" applyFill="1" applyBorder="1" applyNumberFormat="1">
      <alignment horizontal="center" vertical="center" wrapText="1"/>
    </xf>
    <xf numFmtId="49" fontId="76" fillId="0" borderId="0" xfId="0" applyFont="1" applyNumberFormat="1">
      <alignment vertical="center" wrapText="1"/>
    </xf>
    <xf numFmtId="0" fontId="110" fillId="37" borderId="0" xfId="0" applyFont="1" applyFill="1" applyNumberFormat="1">
      <alignment vertical="center" wrapText="1"/>
    </xf>
    <xf numFmtId="0" fontId="23" fillId="0" borderId="0" xfId="0" applyFont="1" applyNumberFormat="1">
      <alignment vertical="center"/>
    </xf>
    <xf numFmtId="49" fontId="54" fillId="37" borderId="0" xfId="0" applyFont="1" applyFill="1" applyNumberFormat="1">
      <alignment horizontal="center" vertical="center" wrapText="1"/>
    </xf>
    <xf numFmtId="0" fontId="23" fillId="0" borderId="0" xfId="0" applyFont="1" applyNumberFormat="1">
      <alignment horizontal="left" vertical="center" wrapText="1"/>
    </xf>
    <xf numFmtId="0" fontId="54" fillId="0" borderId="0" xfId="0" applyFont="1" applyNumberFormat="1">
      <alignment vertical="center"/>
    </xf>
    <xf numFmtId="0" fontId="23" fillId="0" borderId="0" xfId="0" applyFont="1" applyNumberFormat="1">
      <alignment horizontal="left" vertical="center" wrapText="1" indent="1"/>
    </xf>
    <xf numFmtId="0" fontId="23" fillId="0" borderId="0" xfId="0" applyFont="1" applyNumberFormat="1">
      <alignment horizontal="right" vertical="top" wrapText="1"/>
    </xf>
    <xf numFmtId="0" fontId="111" fillId="37" borderId="0" xfId="0" applyFont="1" applyFill="1" applyNumberFormat="1">
      <alignment vertical="center" wrapText="1"/>
    </xf>
    <xf numFmtId="49"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164" fontId="23" fillId="33" borderId="13" xfId="0" applyFont="1" applyFill="1" applyBorder="1" applyNumberFormat="1">
      <alignment horizontal="right" vertical="center" wrapText="1"/>
      <protection locked="0"/>
    </xf>
    <xf numFmtId="0" fontId="52" fillId="0" borderId="13" xfId="0" applyFont="1" applyBorder="1" applyNumberFormat="1">
      <alignment vertical="top" wrapText="1"/>
    </xf>
    <xf numFmtId="0" fontId="23" fillId="42" borderId="13" xfId="0" applyFont="1" applyFill="1" applyBorder="1" applyNumberFormat="1">
      <alignment horizontal="left" vertical="center" wrapText="1" indent="6"/>
      <protection locked="0"/>
    </xf>
    <xf numFmtId="0" fontId="23" fillId="0" borderId="0" xfId="0" applyFont="1" applyNumberFormat="1">
      <alignment vertical="center"/>
    </xf>
    <xf numFmtId="0" fontId="112" fillId="0" borderId="0" xfId="0" applyFont="1" applyNumberFormat="1">
      <alignment vertical="center"/>
    </xf>
    <xf numFmtId="0" fontId="112"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2"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113" fillId="39" borderId="16" xfId="0" applyFont="1" applyFill="1" applyBorder="1" applyNumberFormat="1">
      <alignment horizontal="left" vertical="center"/>
    </xf>
    <xf numFmtId="0" fontId="23" fillId="37" borderId="0" xfId="0" applyFont="1" applyFill="1" applyNumberFormat="1">
      <alignment horizontal="left" vertical="center" wrapText="1"/>
    </xf>
    <xf numFmtId="0" fontId="0" fillId="0" borderId="0" xfId="0" applyFont="1" applyNumberFormat="1">
      <alignment horizontal="left" vertical="center"/>
    </xf>
    <xf numFmtId="49" fontId="84" fillId="37" borderId="20" xfId="0" applyFont="1" applyFill="1" applyBorder="1" applyNumberFormat="1">
      <alignment horizontal="left" vertical="center" wrapText="1"/>
    </xf>
    <xf numFmtId="49" fontId="77" fillId="39" borderId="15" xfId="0" applyFont="1" applyFill="1" applyBorder="1" applyNumberFormat="1">
      <alignment horizontal="left" vertical="center"/>
    </xf>
    <xf numFmtId="49" fontId="105" fillId="39" borderId="15" xfId="0" applyFont="1" applyFill="1" applyBorder="1" applyNumberFormat="1">
      <alignment horizontal="left" vertical="center"/>
    </xf>
    <xf numFmtId="49" fontId="71" fillId="39" borderId="15" xfId="0" applyFont="1" applyFill="1" applyBorder="1" applyNumberFormat="1">
      <alignment horizontal="left" vertical="top"/>
    </xf>
    <xf numFmtId="0" fontId="0" fillId="49" borderId="0" xfId="0" applyFont="1" applyFill="1" applyNumberFormat="1">
      <alignment horizontal="right" vertical="center"/>
    </xf>
    <xf numFmtId="0" fontId="54" fillId="0" borderId="13" xfId="0" applyFont="1" applyBorder="1" applyNumberFormat="1">
      <alignment horizontal="center" vertical="center"/>
    </xf>
    <xf numFmtId="0" fontId="0" fillId="0" borderId="0" xfId="0" applyFont="1" applyNumberFormat="1">
      <alignment vertical="center"/>
    </xf>
    <xf numFmtId="0" fontId="23" fillId="0" borderId="13"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4" fillId="37" borderId="20" xfId="0" applyFont="1" applyFill="1" applyBorder="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0" fontId="58" fillId="49" borderId="0" xfId="0" applyFont="1" applyFill="1" applyNumberFormat="1">
      <alignment horizontal="left" vertical="center"/>
    </xf>
    <xf numFmtId="49" fontId="23" fillId="0" borderId="21"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49" fontId="23" fillId="0" borderId="0" xfId="0" applyFont="1" applyNumberFormat="1">
      <alignmen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2" fillId="0" borderId="18" xfId="0" applyFont="1" applyBorder="1" applyNumberFormat="1">
      <alignment vertical="top" wrapText="1"/>
    </xf>
    <xf numFmtId="0" fontId="0" fillId="0" borderId="0" xfId="0" applyFont="1" applyNumberFormat="1">
      <alignment vertical="center"/>
    </xf>
    <xf numFmtId="0" fontId="23" fillId="37" borderId="13"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3" fillId="0" borderId="0" xfId="0" applyFont="1" applyNumberFormat="1">
      <alignment horizontal="center" vertical="center" wrapText="1"/>
    </xf>
    <xf numFmtId="0" fontId="23" fillId="37" borderId="13"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4"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9"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4" fillId="0" borderId="0" xfId="0" applyFont="1" applyNumberFormat="1">
      <alignment horizontal="center" vertical="center"/>
    </xf>
    <xf numFmtId="0" fontId="23" fillId="0" borderId="0" xfId="0" applyFont="1" applyNumberFormat="1">
      <alignment horizontal="right" vertical="center" wrapText="1"/>
    </xf>
    <xf numFmtId="0" fontId="84" fillId="37" borderId="0" xfId="0" applyFont="1" applyFill="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left" vertical="center" indent="1"/>
    </xf>
    <xf numFmtId="49" fontId="111" fillId="0" borderId="0" xfId="0" applyFont="1" applyNumberFormat="1">
      <alignment vertical="top"/>
    </xf>
    <xf numFmtId="49" fontId="23" fillId="0" borderId="13" xfId="0" applyFont="1" applyBorder="1" applyNumberFormat="1">
      <alignment vertical="center" wrapText="1"/>
    </xf>
    <xf numFmtId="0" fontId="54" fillId="0" borderId="0" xfId="0" applyFont="1" applyNumberFormat="1">
      <alignment horizontal="center" vertical="center"/>
    </xf>
    <xf numFmtId="0" fontId="23" fillId="42" borderId="13" xfId="0" applyFont="1" applyFill="1" applyBorder="1" applyNumberFormat="1">
      <alignment horizontal="left" vertical="center" wrapText="1" indent="6"/>
    </xf>
    <xf numFmtId="4" fontId="23" fillId="0" borderId="18" xfId="0" applyFont="1" applyBorder="1" applyNumberFormat="1">
      <alignment horizontal="right" vertical="center" wrapText="1"/>
    </xf>
    <xf numFmtId="4" fontId="23" fillId="0" borderId="24" xfId="0" applyFont="1" applyBorder="1" applyNumberFormat="1">
      <alignment horizontal="right" vertical="center" wrapText="1"/>
    </xf>
    <xf numFmtId="0" fontId="0" fillId="0" borderId="0" xfId="0" applyFont="1" applyNumberFormat="1">
      <alignment vertical="center"/>
    </xf>
    <xf numFmtId="49" fontId="23" fillId="0" borderId="0" xfId="0" applyFont="1" applyNumberFormat="1">
      <alignment vertical="center" wrapText="1"/>
    </xf>
    <xf numFmtId="0" fontId="23" fillId="0" borderId="18"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 fontId="53" fillId="0" borderId="13" xfId="0" applyFont="1" applyBorder="1" applyNumberFormat="1">
      <alignment horizontal="right" vertical="center" wrapText="1"/>
    </xf>
    <xf numFmtId="164" fontId="53" fillId="0" borderId="13" xfId="0" applyFont="1" applyBorder="1" applyNumberFormat="1">
      <alignment horizontal="right" vertical="center" wrapText="1"/>
    </xf>
    <xf numFmtId="49" fontId="53" fillId="0" borderId="0" xfId="0" applyFont="1" applyNumberFormat="1">
      <alignment vertical="center" wrapText="1"/>
    </xf>
    <xf numFmtId="0" fontId="53" fillId="0" borderId="0" xfId="0" applyFont="1" applyNumberFormat="1">
      <alignment horizontal="left" vertical="center" indent="1"/>
    </xf>
    <xf numFmtId="0" fontId="53" fillId="0" borderId="0" xfId="0" applyFont="1" applyNumberFormat="1">
      <alignment horizontal="center" vertical="center"/>
    </xf>
    <xf numFmtId="0" fontId="53" fillId="0" borderId="0" xfId="0" applyFont="1" applyNumberFormat="1">
      <alignment horizontal="left" vertical="center" wrapText="1"/>
    </xf>
    <xf numFmtId="0" fontId="53" fillId="0" borderId="0" xfId="0" applyFont="1" applyNumberFormat="1">
      <alignment vertical="center" wrapText="1"/>
    </xf>
    <xf numFmtId="49" fontId="53" fillId="0" borderId="13" xfId="0" applyFont="1" applyBorder="1" applyNumberFormat="1">
      <alignment vertical="center" wrapText="1"/>
    </xf>
    <xf numFmtId="0" fontId="53" fillId="0" borderId="0" xfId="0" applyFont="1" applyNumberFormat="1">
      <alignment vertical="center"/>
    </xf>
    <xf numFmtId="0" fontId="53" fillId="0" borderId="0" xfId="0" applyFont="1" applyNumberFormat="1">
      <alignment horizontal="center" vertical="center"/>
    </xf>
    <xf numFmtId="0" fontId="53" fillId="0" borderId="0" xfId="0" applyFont="1" applyNumberFormat="1">
      <alignment vertical="center"/>
    </xf>
    <xf numFmtId="0" fontId="73" fillId="0" borderId="0" xfId="0" applyFont="1" applyNumberFormat="1">
      <alignment vertical="center" wrapText="1"/>
    </xf>
    <xf numFmtId="0" fontId="0" fillId="0" borderId="16" xfId="0" applyFont="1" applyBorder="1" applyNumberFormat="1">
      <alignment vertical="center"/>
    </xf>
    <xf numFmtId="0" fontId="54" fillId="0" borderId="13" xfId="0" applyFont="1" applyBorder="1" applyNumberFormat="1">
      <alignment horizontal="center" vertical="center" wrapText="1"/>
    </xf>
    <xf numFmtId="0" fontId="76" fillId="0" borderId="0" xfId="0" applyFont="1" applyNumberFormat="1">
      <alignment horizontal="left" vertical="center" indent="1"/>
    </xf>
    <xf numFmtId="0" fontId="76" fillId="0" borderId="0" xfId="0" applyFont="1" applyNumberFormat="1">
      <alignment horizontal="left" vertical="center" indent="1"/>
    </xf>
    <xf numFmtId="0" fontId="54" fillId="0" borderId="13" xfId="0" applyFont="1" applyBorder="1" applyNumberFormat="1">
      <alignment vertical="center" wrapText="1"/>
    </xf>
    <xf numFmtId="0" fontId="76" fillId="0" borderId="0" xfId="0" applyFont="1" applyNumberFormat="1">
      <alignment horizontal="center" vertical="center"/>
    </xf>
    <xf numFmtId="0" fontId="76" fillId="0" borderId="0" xfId="0" applyFont="1" applyNumberFormat="1">
      <alignment horizontal="left" vertical="center" wrapText="1"/>
    </xf>
    <xf numFmtId="49" fontId="76" fillId="0" borderId="0" xfId="0" applyFont="1" applyNumberFormat="1">
      <alignment horizontal="left" vertical="center"/>
    </xf>
    <xf numFmtId="0" fontId="23" fillId="0" borderId="0" xfId="0" applyFont="1" applyNumberFormat="1">
      <alignment horizontal="center" vertical="center"/>
    </xf>
    <xf numFmtId="0" fontId="76" fillId="0" borderId="0" xfId="0" applyFont="1" applyNumberFormat="1">
      <alignment horizontal="center" vertical="center"/>
    </xf>
    <xf numFmtId="4" fontId="23" fillId="0" borderId="14" xfId="0" applyFont="1" applyBorder="1" applyNumberFormat="1">
      <alignment horizontal="righ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 fontId="23" fillId="0" borderId="37" xfId="0" applyFont="1" applyBorder="1" applyNumberFormat="1">
      <alignment horizontal="right" vertical="center" wrapText="1"/>
    </xf>
    <xf numFmtId="0" fontId="23" fillId="33" borderId="13" xfId="0" applyFont="1" applyFill="1" applyBorder="1" applyNumberFormat="1">
      <alignment horizontal="left" vertical="center" wrapText="1" indent="7"/>
      <protection locked="0"/>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 fontId="54" fillId="39" borderId="14" xfId="0" applyFont="1" applyFill="1" applyBorder="1" applyNumberFormat="1">
      <alignment horizontal="center" vertical="center" wrapText="1"/>
    </xf>
    <xf numFmtId="164" fontId="23" fillId="39" borderId="14" xfId="0" applyFont="1" applyFill="1" applyBorder="1" applyNumberFormat="1">
      <alignment horizontal="right" vertical="center" wrapText="1"/>
    </xf>
    <xf numFmtId="0" fontId="23" fillId="42" borderId="13" xfId="0" applyFont="1" applyFill="1" applyBorder="1" applyNumberFormat="1">
      <alignment horizontal="left" vertical="center" wrapText="1" indent="1"/>
    </xf>
    <xf numFmtId="0" fontId="54" fillId="0" borderId="13" xfId="0" applyFont="1" applyBorder="1" applyNumberFormat="1">
      <alignment horizontal="left" vertical="center" wrapText="1" indent="5"/>
    </xf>
    <xf numFmtId="49" fontId="76" fillId="0" borderId="25" xfId="0" applyFont="1" applyBorder="1" applyNumberFormat="1">
      <alignment vertical="top"/>
    </xf>
    <xf numFmtId="49" fontId="54" fillId="0" borderId="25" xfId="0" applyFont="1" applyBorder="1" applyNumberFormat="1">
      <alignment vertical="top"/>
    </xf>
    <xf numFmtId="0" fontId="23" fillId="0" borderId="13" xfId="0" applyFont="1" applyBorder="1" applyNumberFormat="1">
      <alignment horizontal="left" vertical="center" wrapText="1" indent="1"/>
    </xf>
    <xf numFmtId="4" fontId="54" fillId="0" borderId="13" xfId="0" applyFont="1" applyBorder="1" applyNumberFormat="1">
      <alignment horizontal="right" vertical="center" wrapText="1"/>
    </xf>
    <xf numFmtId="164" fontId="54" fillId="0" borderId="13" xfId="0" applyFont="1" applyBorder="1" applyNumberFormat="1">
      <alignment horizontal="right" vertical="center" wrapText="1"/>
    </xf>
    <xf numFmtId="164" fontId="23" fillId="33" borderId="15" xfId="0" applyFont="1" applyFill="1" applyBorder="1" applyNumberFormat="1">
      <alignment horizontal="right" vertical="center" wrapText="1"/>
      <protection locked="0"/>
    </xf>
    <xf numFmtId="4" fontId="54" fillId="0" borderId="15" xfId="0" applyFont="1" applyBorder="1" applyNumberFormat="1">
      <alignment horizontal="center" vertical="center" wrapText="1"/>
    </xf>
    <xf numFmtId="4" fontId="23" fillId="33" borderId="14" xfId="0" applyFont="1" applyFill="1" applyBorder="1" applyNumberFormat="1">
      <alignment horizontal="right" vertical="center" wrapText="1"/>
      <protection locked="0"/>
    </xf>
    <xf numFmtId="49" fontId="23" fillId="39" borderId="28" xfId="0" applyFont="1" applyFill="1" applyBorder="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0" xfId="0" applyFont="1" applyNumberFormat="1">
      <alignment vertical="center"/>
    </xf>
    <xf numFmtId="0" fontId="55" fillId="0" borderId="0" xfId="0" applyFont="1" applyNumberFormat="1">
      <alignment vertical="center"/>
    </xf>
    <xf numFmtId="0" fontId="54"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37" borderId="13" xfId="0" applyFont="1" applyFill="1" applyBorder="1" applyNumberFormat="1">
      <alignment horizontal="left" vertical="center" wrapText="1"/>
    </xf>
    <xf numFmtId="0" fontId="54" fillId="0" borderId="0" xfId="0" applyFont="1" applyNumberFormat="1">
      <alignment horizontal="center" vertical="center"/>
    </xf>
    <xf numFmtId="49" fontId="23" fillId="0" borderId="0" xfId="0" applyFont="1" applyNumberFormat="1">
      <alignment horizontal="center" vertical="top"/>
    </xf>
    <xf numFmtId="49" fontId="39" fillId="0" borderId="0" xfId="0" applyFont="1" applyNumberFormat="1">
      <alignment horizontal="center" vertical="center"/>
    </xf>
    <xf numFmtId="0" fontId="0" fillId="0" borderId="0" xfId="0" applyFont="1" applyNumberFormat="1">
      <alignment horizontal="left" vertical="center"/>
    </xf>
    <xf numFmtId="0" fontId="58"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7" fillId="39" borderId="30" xfId="0" applyFont="1" applyFill="1" applyBorder="1" applyNumberFormat="1">
      <alignment horizontal="left" vertical="center"/>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0" fontId="0" fillId="0" borderId="0" xfId="0" applyFont="1" applyNumberFormat="1">
      <alignment vertical="center"/>
    </xf>
    <xf numFmtId="0" fontId="114" fillId="0" borderId="0" xfId="0" applyFont="1" applyNumberFormat="1">
      <alignmen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0" fontId="53" fillId="0" borderId="0" xfId="0" applyFont="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84" fillId="37"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7" borderId="13" xfId="0" applyFont="1" applyFill="1" applyBorder="1" applyNumberFormat="1">
      <alignment horizontal="left" vertical="center" wrapText="1"/>
    </xf>
    <xf numFmtId="0" fontId="54" fillId="0" borderId="0" xfId="0" applyFont="1" applyNumberFormat="1">
      <alignment horizontal="center" vertical="center"/>
    </xf>
    <xf numFmtId="49" fontId="23" fillId="42" borderId="13"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4" fillId="0" borderId="0" xfId="0" applyFont="1" applyNumberFormat="1">
      <alignment horizontal="center" vertical="center"/>
    </xf>
    <xf numFmtId="0" fontId="23" fillId="37"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49" fontId="23" fillId="37" borderId="13" xfId="0" applyFont="1" applyFill="1" applyBorder="1" applyNumberFormat="1">
      <alignment horizontal="center" vertical="center" wrapText="1"/>
    </xf>
    <xf numFmtId="0" fontId="54" fillId="37" borderId="0" xfId="0" applyFont="1" applyFill="1" applyNumberFormat="1">
      <alignment horizontal="center" vertical="center" wrapText="1"/>
    </xf>
    <xf numFmtId="0" fontId="0" fillId="37" borderId="1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53" fillId="0" borderId="0" xfId="0" applyFont="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84" fillId="37"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23" fillId="37" borderId="13" xfId="0" applyFont="1" applyFill="1" applyBorder="1" applyNumberFormat="1">
      <alignment horizontal="left" vertical="center" wrapText="1"/>
    </xf>
    <xf numFmtId="0" fontId="54" fillId="0" borderId="0" xfId="0" applyFont="1" applyNumberFormat="1">
      <alignment horizontal="center" vertical="center"/>
    </xf>
    <xf numFmtId="0" fontId="44" fillId="0" borderId="0" xfId="0" applyFont="1" applyNumberFormat="1">
      <alignment horizontal="center" vertical="center" wrapText="1"/>
    </xf>
    <xf numFmtId="164" fontId="23" fillId="39" borderId="16" xfId="0" applyFont="1" applyFill="1" applyBorder="1" applyNumberFormat="1">
      <alignment horizontal="righ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49" fontId="47" fillId="39" borderId="28" xfId="0" applyFont="1" applyFill="1" applyBorder="1" applyNumberFormat="1">
      <alignment horizontal="left" vertical="center"/>
    </xf>
    <xf numFmtId="0" fontId="115"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0" xfId="0" applyFont="1" applyNumberFormat="1">
      <alignment horizontal="left" vertical="center" wrapText="1" indent="1"/>
    </xf>
    <xf numFmtId="49" fontId="23" fillId="39" borderId="15" xfId="0" applyFont="1" applyFill="1" applyBorder="1" applyNumberFormat="1">
      <alignment horizontal="center" vertical="center" wrapText="1"/>
    </xf>
    <xf numFmtId="0" fontId="54" fillId="0" borderId="25" xfId="0" applyFont="1" applyBorder="1" applyNumberFormat="1">
      <alignment horizontal="left" vertical="center" wrapText="1" inden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4" fillId="0" borderId="0" xfId="0" applyFont="1" applyNumberFormat="1">
      <alignment horizontal="left" vertical="center"/>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left" vertical="center" wrapText="1"/>
    </xf>
    <xf numFmtId="0" fontId="44" fillId="0" borderId="0" xfId="0" applyFont="1" applyNumberFormat="1">
      <alignment horizontal="center" vertical="center" wrapText="1"/>
    </xf>
    <xf numFmtId="0" fontId="44" fillId="37" borderId="0" xfId="0" applyFont="1" applyFill="1" applyNumberFormat="1">
      <alignment horizontal="center" vertical="center" wrapText="1"/>
    </xf>
    <xf numFmtId="49" fontId="53" fillId="0" borderId="0" xfId="0" applyFont="1" applyNumberFormat="1">
      <alignment horizontal="left" vertical="center"/>
    </xf>
    <xf numFmtId="49" fontId="53" fillId="0" borderId="0" xfId="0" applyFont="1" applyNumberFormat="1">
      <alignment horizontal="left" vertical="center"/>
    </xf>
    <xf numFmtId="49" fontId="53" fillId="0" borderId="0" xfId="0" applyFont="1" applyNumberFormat="1">
      <alignment horizontal="left" vertical="top"/>
    </xf>
    <xf numFmtId="49" fontId="23" fillId="37" borderId="13" xfId="0" applyFont="1" applyFill="1" applyBorder="1" applyNumberFormat="1">
      <alignment horizontal="center" vertical="center"/>
    </xf>
    <xf numFmtId="0" fontId="23" fillId="0" borderId="13" xfId="0" applyFont="1" applyBorder="1" applyNumberFormat="1">
      <alignment horizontal="center" vertical="center" wrapText="1"/>
    </xf>
    <xf numFmtId="0" fontId="23" fillId="37" borderId="13" xfId="0" applyFont="1" applyFill="1" applyBorder="1" applyNumberFormat="1">
      <alignment horizontal="left" vertical="center" wrapText="1" inden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49" fontId="23" fillId="41" borderId="13" xfId="0" applyFont="1" applyFill="1" applyBorder="1" applyNumberFormat="1">
      <alignment horizontal="left" vertical="center" wrapText="1"/>
      <protection locked="0"/>
    </xf>
    <xf numFmtId="0" fontId="23" fillId="37" borderId="13" xfId="0" applyFont="1" applyFill="1" applyBorder="1" applyNumberFormat="1">
      <alignment horizontal="left" vertical="center" wrapText="1"/>
    </xf>
    <xf numFmtId="0" fontId="54" fillId="37" borderId="13" xfId="0" applyFont="1" applyFill="1" applyBorder="1" applyNumberFormat="1">
      <alignment horizontal="center" vertical="center"/>
    </xf>
    <xf numFmtId="0" fontId="76" fillId="37" borderId="0" xfId="0" applyFont="1" applyFill="1" applyNumberFormat="1">
      <alignment vertical="center" wrapText="1"/>
    </xf>
    <xf numFmtId="0" fontId="71" fillId="37" borderId="0" xfId="0" applyFont="1" applyFill="1" applyNumberFormat="1"/>
    <xf numFmtId="49" fontId="23" fillId="33" borderId="13" xfId="0" applyFont="1" applyFill="1" applyBorder="1" applyNumberFormat="1">
      <alignment horizontal="left" vertical="center" wrapText="1"/>
      <protection locked="0"/>
    </xf>
    <xf numFmtId="0" fontId="88" fillId="37" borderId="0" xfId="0" applyFont="1" applyFill="1" applyNumberFormat="1"/>
    <xf numFmtId="0" fontId="72" fillId="37" borderId="0" xfId="0" applyFont="1" applyFill="1" applyNumberFormat="1"/>
    <xf numFmtId="14" fontId="23" fillId="41" borderId="24" xfId="0" applyFont="1" applyFill="1" applyBorder="1" applyNumberFormat="1">
      <alignment horizontal="left" vertical="center" wrapText="1" indent="1"/>
      <protection locked="0"/>
    </xf>
    <xf numFmtId="0" fontId="116" fillId="0" borderId="0" xfId="0" applyFont="1" applyNumberFormat="1">
      <alignment vertical="center"/>
    </xf>
    <xf numFmtId="0" fontId="116" fillId="0" borderId="0" xfId="0" applyFont="1" applyNumberFormat="1">
      <alignment vertical="center" wrapText="1"/>
    </xf>
    <xf numFmtId="165" fontId="23" fillId="0" borderId="24" xfId="0" applyFont="1" applyBorder="1" applyNumberFormat="1">
      <alignment horizontal="center" vertical="center" wrapText="1"/>
    </xf>
    <xf numFmtId="14" fontId="23" fillId="41" borderId="13" xfId="0" applyFont="1" applyFill="1" applyBorder="1" applyNumberFormat="1">
      <alignment horizontal="left" vertical="center" wrapText="1" indent="1"/>
      <protection locked="0"/>
    </xf>
    <xf numFmtId="0" fontId="23" fillId="38" borderId="24" xfId="0" applyFont="1" applyFill="1" applyBorder="1" applyNumberFormat="1">
      <alignment horizontal="left" vertical="center" wrapText="1" indent="1"/>
    </xf>
    <xf numFmtId="165" fontId="23" fillId="0" borderId="18" xfId="0" applyFont="1" applyBorder="1" applyNumberFormat="1">
      <alignment horizontal="center" vertical="center" wrapText="1"/>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34" fillId="39" borderId="28" xfId="0" applyFont="1" applyFill="1" applyBorder="1" applyNumberFormat="1">
      <alignment horizontal="left"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xf>
    <xf numFmtId="0" fontId="49" fillId="0" borderId="0" xfId="0" applyFont="1" applyNumberFormat="1">
      <alignment horizontal="center" vertical="center" wrapText="1"/>
    </xf>
    <xf numFmtId="14" fontId="23" fillId="42" borderId="13" xfId="0" applyFont="1" applyFill="1" applyBorder="1" applyNumberFormat="1">
      <alignment horizontal="left" vertical="center" wrapText="1"/>
    </xf>
    <xf numFmtId="165" fontId="23" fillId="0" borderId="38" xfId="0" applyFont="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53" fillId="37" borderId="0" xfId="0" applyFont="1" applyFill="1" applyNumberFormat="1"/>
    <xf numFmtId="0" fontId="23" fillId="0" borderId="16" xfId="0" applyFont="1" applyBorder="1" applyNumberFormat="1">
      <alignment horizontal="right" vertical="center" wrapText="1" indent="1"/>
    </xf>
    <xf numFmtId="0" fontId="23" fillId="38" borderId="15" xfId="0" applyFont="1" applyFill="1" applyBorder="1" applyNumberFormat="1">
      <alignment horizontal="left" vertical="top" wrapText="1"/>
    </xf>
    <xf numFmtId="49" fontId="54" fillId="0" borderId="0" xfId="0" applyFont="1" applyNumberFormat="1">
      <alignment horizontal="center" vertical="center"/>
    </xf>
    <xf numFmtId="49" fontId="71" fillId="0" borderId="0" xfId="0" applyFont="1" applyNumberFormat="1">
      <alignment vertical="top"/>
    </xf>
    <xf numFmtId="0" fontId="49" fillId="0" borderId="0" xfId="0" applyFont="1" applyNumberFormat="1">
      <alignment vertical="center"/>
    </xf>
    <xf numFmtId="0" fontId="23" fillId="0" borderId="37"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49" fontId="23" fillId="0" borderId="37" xfId="0" applyFont="1" applyBorder="1" applyNumberFormat="1">
      <alignment horizontal="left" vertical="center" wrapText="1"/>
    </xf>
    <xf numFmtId="49" fontId="23" fillId="0" borderId="37"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37" xfId="0" applyFont="1" applyBorder="1" applyNumberFormat="1">
      <alignment horizontal="left" vertical="center" wrapText="1"/>
    </xf>
    <xf numFmtId="49" fontId="23" fillId="0" borderId="37" xfId="0" applyFont="1" applyBorder="1" applyNumberFormat="1">
      <alignment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0" borderId="37" xfId="0" applyFont="1" applyBorder="1" applyNumberFormat="1">
      <alignment horizontal="left" vertical="center"/>
    </xf>
    <xf numFmtId="0" fontId="47" fillId="39" borderId="38" xfId="0" applyFont="1" applyFill="1" applyBorder="1" applyNumberFormat="1">
      <alignment horizontal="left" vertical="center"/>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42" borderId="18" xfId="0" applyFont="1" applyFill="1" applyBorder="1" applyNumberFormat="1">
      <alignment vertical="center" wrapText="1"/>
    </xf>
    <xf numFmtId="0" fontId="23" fillId="0" borderId="38" xfId="0" applyFont="1" applyBorder="1" applyNumberFormat="1">
      <alignment horizontal="center" vertical="center" wrapText="1"/>
    </xf>
    <xf numFmtId="49" fontId="0" fillId="0" borderId="0" xfId="0" applyFont="1" applyNumberFormat="1">
      <alignment vertical="top"/>
    </xf>
    <xf numFmtId="49" fontId="53" fillId="0" borderId="0" xfId="0" applyFont="1" applyNumberFormat="1">
      <alignment horizontal="center" vertical="center"/>
    </xf>
    <xf numFmtId="0" fontId="117" fillId="0" borderId="0" xfId="0" applyFont="1" applyNumberFormat="1">
      <alignment vertical="center" wrapText="1"/>
    </xf>
    <xf numFmtId="0" fontId="118" fillId="0" borderId="0" xfId="0" applyFont="1" applyNumberFormat="1">
      <alignment vertical="center" wrapText="1"/>
    </xf>
    <xf numFmtId="0" fontId="23" fillId="0" borderId="18" xfId="0" applyFont="1" applyBorder="1" applyNumberFormat="1">
      <alignment horizontal="center"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0" fontId="23" fillId="0" borderId="18" xfId="0" applyFont="1" applyBorder="1" applyNumberFormat="1">
      <alignment horizontal="left" vertical="center" wrapText="1"/>
    </xf>
    <xf numFmtId="0" fontId="23" fillId="0" borderId="0" xfId="0" applyFont="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0" fontId="47" fillId="0" borderId="0" xfId="0" applyFont="1" applyNumberFormat="1">
      <alignment vertical="center"/>
    </xf>
    <xf numFmtId="49" fontId="71" fillId="0" borderId="31" xfId="0" applyFont="1" applyBorder="1" applyNumberFormat="1">
      <alignment vertical="top"/>
    </xf>
    <xf numFmtId="49" fontId="23" fillId="0" borderId="38" xfId="0" applyFont="1" applyBorder="1" applyNumberFormat="1">
      <alignment vertical="center" wrapText="1"/>
    </xf>
    <xf numFmtId="49" fontId="23" fillId="0" borderId="23" xfId="0" applyFont="1" applyBorder="1" applyNumberFormat="1">
      <alignment vertical="center" wrapText="1"/>
    </xf>
    <xf numFmtId="0" fontId="47" fillId="0" borderId="23" xfId="0" applyFont="1" applyBorder="1" applyNumberFormat="1">
      <alignment horizontal="left" vertical="center"/>
    </xf>
    <xf numFmtId="49" fontId="71" fillId="0" borderId="28" xfId="0" applyFont="1" applyBorder="1" applyNumberFormat="1">
      <alignment vertical="top"/>
    </xf>
    <xf numFmtId="49" fontId="23" fillId="0" borderId="37" xfId="0" applyFont="1" applyBorder="1" applyNumberFormat="1">
      <alignment horizontal="center" vertical="center" wrapText="1"/>
    </xf>
    <xf numFmtId="0" fontId="47" fillId="39" borderId="38" xfId="0" applyFont="1" applyFill="1" applyBorder="1" applyNumberFormat="1">
      <alignment vertical="center"/>
    </xf>
    <xf numFmtId="49" fontId="0" fillId="0" borderId="13"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39" fillId="0" borderId="0" xfId="0" applyFont="1" applyNumberFormat="1">
      <alignment vertical="center" wrapText="1"/>
    </xf>
    <xf numFmtId="0" fontId="49" fillId="0" borderId="0" xfId="0" applyFont="1" applyNumberFormat="1">
      <alignment vertical="center" wrapText="1"/>
    </xf>
    <xf numFmtId="0" fontId="23" fillId="0" borderId="0" xfId="0" applyFont="1" applyNumberFormat="1">
      <alignment horizontal="left" vertical="center" wrapText="1"/>
    </xf>
    <xf numFmtId="0" fontId="62" fillId="0" borderId="0" xfId="0" applyFont="1" applyNumberFormat="1">
      <alignment vertical="center" wrapText="1"/>
    </xf>
    <xf numFmtId="0" fontId="64" fillId="0" borderId="0" xfId="0" applyFont="1" applyNumberFormat="1">
      <alignment vertical="center" wrapText="1"/>
    </xf>
    <xf numFmtId="0" fontId="92" fillId="0" borderId="0" xfId="0" applyFont="1" applyNumberFormat="1">
      <alignment vertical="center" wrapText="1"/>
    </xf>
    <xf numFmtId="0" fontId="54" fillId="0" borderId="0" xfId="0" applyFont="1" applyNumberFormat="1">
      <alignment vertical="center" wrapText="1"/>
    </xf>
    <xf numFmtId="0" fontId="68" fillId="0" borderId="0" xfId="0" applyFont="1" applyNumberFormat="1">
      <alignment vertical="center" wrapText="1"/>
    </xf>
    <xf numFmtId="49" fontId="23" fillId="0" borderId="13" xfId="0" applyFont="1" applyBorder="1" applyNumberFormat="1">
      <alignment horizontal="center" vertical="center" wrapText="1"/>
    </xf>
    <xf numFmtId="0" fontId="44" fillId="37" borderId="13"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23" fillId="0" borderId="13" xfId="0" applyFont="1" applyBorder="1" applyNumberFormat="1">
      <alignment horizontal="center" vertical="center" wrapText="1"/>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center"/>
    </xf>
    <xf numFmtId="0" fontId="44" fillId="37" borderId="13" xfId="0" applyFont="1" applyFill="1" applyBorder="1" applyNumberFormat="1">
      <alignment horizontal="center" vertical="center" wrapText="1"/>
    </xf>
    <xf numFmtId="0" fontId="53" fillId="0" borderId="23" xfId="0" applyFont="1" applyBorder="1" applyNumberFormat="1">
      <alignment vertical="center"/>
    </xf>
    <xf numFmtId="0" fontId="53" fillId="0" borderId="23" xfId="0" applyFont="1" applyBorder="1" applyNumberFormat="1">
      <alignment vertical="center"/>
    </xf>
    <xf numFmtId="0" fontId="23" fillId="0" borderId="18" xfId="0" applyFont="1" applyBorder="1" applyNumberFormat="1">
      <alignment horizontal="left" vertical="center" wrapText="1" indent="1"/>
    </xf>
    <xf numFmtId="49" fontId="23" fillId="0" borderId="59"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0" xfId="0" applyFont="1" applyNumberFormat="1">
      <alignment vertical="center" wrapText="1"/>
    </xf>
    <xf numFmtId="0" fontId="3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wrapText="1"/>
    </xf>
    <xf numFmtId="0"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58" fillId="0" borderId="0" xfId="0" applyFont="1" applyNumberFormat="1">
      <alignment vertical="center"/>
    </xf>
    <xf numFmtId="0" fontId="76" fillId="0" borderId="0" xfId="0" applyFont="1" applyNumberFormat="1">
      <alignment vertical="center" wrapText="1"/>
    </xf>
    <xf numFmtId="0" fontId="54" fillId="0" borderId="0" xfId="0" applyFont="1" applyNumberFormat="1">
      <alignment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0" fontId="23" fillId="0" borderId="13" xfId="0" applyFont="1" applyBorder="1" applyNumberFormat="1">
      <alignment horizontal="left" vertical="center" wrapText="1" indent="2"/>
    </xf>
    <xf numFmtId="0" fontId="54" fillId="0" borderId="18"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49" fontId="0" fillId="0" borderId="13" xfId="0" applyFont="1" applyBorder="1" applyNumberFormat="1">
      <alignment vertical="center" wrapText="1"/>
    </xf>
    <xf numFmtId="0" fontId="54" fillId="0" borderId="15" xfId="0" applyFont="1" applyBorder="1" applyNumberFormat="1">
      <alignment vertical="center" wrapText="1"/>
    </xf>
    <xf numFmtId="0" fontId="54" fillId="0" borderId="15" xfId="0" applyFont="1" applyBorder="1" applyNumberFormat="1">
      <alignment horizontal="left" vertical="top" wrapText="1"/>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xf>
    <xf numFmtId="49" fontId="47" fillId="39" borderId="20" xfId="0" applyFont="1" applyFill="1" applyBorder="1" applyNumberFormat="1">
      <alignment horizontal="left" vertical="center" indent="2"/>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0" xfId="0" applyFont="1" applyNumberFormat="1">
      <alignment vertical="center" wrapText="1"/>
    </xf>
    <xf numFmtId="0" fontId="0"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0" borderId="13" xfId="0" applyFont="1" applyBorder="1" applyNumberFormat="1">
      <alignment horizontal="left" vertical="center" wrapText="1" indent="1"/>
    </xf>
    <xf numFmtId="49" fontId="0" fillId="37"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xf>
    <xf numFmtId="49" fontId="23" fillId="0" borderId="61"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right" vertical="top" wrapText="1"/>
    </xf>
    <xf numFmtId="49" fontId="0" fillId="41" borderId="13" xfId="0" applyFont="1" applyFill="1" applyBorder="1" applyNumberFormat="1">
      <alignment horizontal="left" vertical="center" wrapText="1" indent="1"/>
      <protection locked="0"/>
    </xf>
    <xf numFmtId="49" fontId="53" fillId="0" borderId="0" xfId="0" applyFont="1" applyNumberFormat="1">
      <alignment vertical="top"/>
    </xf>
    <xf numFmtId="49"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37" borderId="0" xfId="0" applyFont="1" applyFill="1" applyNumberFormat="1"/>
    <xf numFmtId="0" fontId="23" fillId="0" borderId="0" xfId="0" applyFont="1" applyNumberFormat="1">
      <alignment vertical="top" wrapText="1"/>
    </xf>
    <xf numFmtId="0" fontId="44" fillId="37" borderId="0" xfId="0" applyFont="1" applyFill="1" applyNumberFormat="1">
      <alignment horizontal="center" vertical="center" wrapText="1"/>
    </xf>
    <xf numFmtId="0" fontId="0" fillId="37" borderId="24"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9" fillId="48" borderId="0" xfId="0" applyFont="1" applyFill="1" applyNumberFormat="1">
      <alignment horizontal="center" vertical="center"/>
    </xf>
    <xf numFmtId="0" fontId="0" fillId="49" borderId="0" xfId="0" applyFont="1" applyFill="1" applyNumberFormat="1">
      <alignment horizontal="left" vertical="center"/>
    </xf>
    <xf numFmtId="49" fontId="0" fillId="0" borderId="0" xfId="0" applyFont="1" applyNumberFormat="1">
      <alignment vertical="center"/>
    </xf>
    <xf numFmtId="0" fontId="0" fillId="49" borderId="0" xfId="0" applyFont="1" applyFill="1" applyNumberFormat="1">
      <alignment horizontal="right" vertical="center"/>
    </xf>
    <xf numFmtId="0" fontId="58" fillId="49" borderId="0" xfId="0" applyFont="1" applyFill="1" applyNumberFormat="1">
      <alignment horizontal="left" vertical="center"/>
    </xf>
    <xf numFmtId="0" fontId="0" fillId="0" borderId="0" xfId="0" applyFont="1" applyNumberFormat="1">
      <alignment horizontal="right" vertical="top"/>
    </xf>
    <xf numFmtId="0" fontId="0" fillId="49" borderId="12" xfId="0" applyFont="1" applyFill="1" applyBorder="1" applyNumberFormat="1">
      <alignment horizontal="center"/>
    </xf>
    <xf numFmtId="0" fontId="0" fillId="0" borderId="12" xfId="0" applyFont="1" applyBorder="1" applyNumberFormat="1">
      <alignment horizontal="center"/>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38" fillId="0" borderId="0" xfId="0" applyFont="1" applyNumberFormat="1"/>
    <xf numFmtId="0" fontId="106" fillId="0" borderId="0" xfId="0" applyFont="1" applyNumberFormat="1">
      <alignment horizontal="left" vertical="center" wrapText="1"/>
    </xf>
    <xf numFmtId="49" fontId="121"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0" fillId="0" borderId="0" xfId="0" applyFont="1" applyNumberFormat="1">
      <alignment wrapTex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2" xfId="0" applyFont="1" applyFill="1" applyBorder="1" applyNumberFormat="1">
      <alignment horizontal="center" vertical="center" wrapText="1"/>
    </xf>
    <xf numFmtId="0" fontId="0" fillId="54"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0" fillId="41" borderId="62" xfId="0" applyFont="1" applyFill="1" applyBorder="1" applyNumberFormat="1">
      <alignment horizontal="center" vertical="center" wrapText="1"/>
    </xf>
    <xf numFmtId="0" fontId="122" fillId="0" borderId="39" xfId="0" applyFont="1" applyBorder="1" applyNumberFormat="1">
      <alignment horizontal="left" vertical="center" wrapText="1"/>
    </xf>
    <xf numFmtId="0" fontId="122" fillId="0" borderId="63" xfId="0" applyFont="1" applyBorder="1" applyNumberFormat="1">
      <alignment horizontal="left" vertical="center" wrapText="1"/>
    </xf>
    <xf numFmtId="0" fontId="124" fillId="0" borderId="0" xfId="0" applyFont="1" applyNumberFormat="1"/>
    <xf numFmtId="0" fontId="124" fillId="0" borderId="39" xfId="0" applyFont="1" applyBorder="1" applyNumberFormat="1">
      <alignment wrapText="1"/>
    </xf>
    <xf numFmtId="0" fontId="70" fillId="0" borderId="64"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0" fontId="43" fillId="0" borderId="25" xfId="0" applyFont="1" applyBorder="1" applyNumberFormat="1">
      <alignment horizontal="center" vertical="center" wrapText="1"/>
    </xf>
    <xf numFmtId="49" fontId="23" fillId="0" borderId="14" xfId="0" applyFont="1" applyBorder="1" applyNumberFormat="1">
      <alignment horizontal="center" vertical="center" wrapText="1"/>
    </xf>
    <xf numFmtId="49" fontId="125" fillId="0" borderId="0" xfId="0" applyFont="1" applyNumberFormat="1">
      <alignment horizontal="center" vertical="center" wrapText="1"/>
    </xf>
    <xf numFmtId="49" fontId="23" fillId="49" borderId="0" xfId="0" applyFont="1" applyFill="1" applyNumberFormat="1">
      <alignment horizontal="center" vertical="center"/>
    </xf>
    <xf numFmtId="167" fontId="0" fillId="41" borderId="13" xfId="0" applyFont="1" applyFill="1" applyBorder="1" applyNumberFormat="1">
      <alignment horizontal="left" vertical="center" wrapText="1" indent="1"/>
      <protection locked="0"/>
    </xf>
    <xf numFmtId="167" fontId="0" fillId="0" borderId="13" xfId="0" applyFont="1" applyBorder="1" applyNumberFormat="1">
      <alignment horizontal="left" vertical="center" wrapText="1" indent="1"/>
    </xf>
    <xf numFmtId="167" fontId="0" fillId="41" borderId="13" xfId="0" applyFont="1" applyFill="1" applyBorder="1" applyNumberFormat="1">
      <alignment horizontal="center" vertical="center" wrapText="1"/>
      <protection locked="0"/>
    </xf>
    <xf numFmtId="167" fontId="54" fillId="0" borderId="0" xfId="0" applyFont="1" applyNumberFormat="1">
      <alignment horizontal="center" vertical="center" wrapText="1"/>
    </xf>
    <xf numFmtId="167" fontId="54" fillId="0" borderId="13" xfId="0" applyFont="1" applyBorder="1" applyNumberFormat="1">
      <alignment horizontal="center" vertical="center" wrapText="1"/>
    </xf>
    <xf numFmtId="167" fontId="0" fillId="41" borderId="13" xfId="0" applyFont="1" applyFill="1" applyBorder="1" applyNumberFormat="1">
      <alignment horizontal="left" vertical="center" wrapText="1"/>
      <protection locked="0"/>
    </xf>
    <xf numFmtId="167" fontId="0" fillId="33" borderId="13" xfId="0" applyFont="1" applyFill="1" applyBorder="1" applyNumberFormat="1">
      <alignment horizontal="left" vertical="center" wrapText="1" indent="1"/>
      <protection locked="0"/>
    </xf>
    <xf numFmtId="167" fontId="0" fillId="41" borderId="14" xfId="0" applyFont="1" applyFill="1" applyBorder="1" applyNumberFormat="1">
      <alignment horizontal="left" vertical="center" wrapText="1"/>
      <protection locked="0"/>
    </xf>
    <xf numFmtId="0" fontId="23" fillId="0" borderId="0" xfId="0" applyFont="1" applyNumberFormat="1">
      <alignment horizontal="left" vertical="top" indent="1"/>
    </xf>
    <xf numFmtId="0" fontId="23" fillId="38" borderId="31" xfId="0" applyFont="1" applyFill="1" applyBorder="1" applyNumberFormat="1">
      <alignment horizontal="center" vertical="top"/>
    </xf>
    <xf numFmtId="0" fontId="0" fillId="0" borderId="35" xfId="0" applyFont="1" applyBorder="1" applyNumberFormat="1">
      <alignment horizontal="center" vertical="center"/>
    </xf>
    <xf numFmtId="0" fontId="0" fillId="0" borderId="34" xfId="0" applyFont="1" applyBorder="1" applyNumberFormat="1">
      <alignment horizontal="center" vertical="center"/>
    </xf>
    <xf numFmtId="0" fontId="23" fillId="38" borderId="31" xfId="0" applyFont="1" applyFill="1" applyBorder="1" applyNumberFormat="1">
      <alignment horizontal="left" vertical="top"/>
    </xf>
    <xf numFmtId="0" fontId="23" fillId="0" borderId="13" xfId="0" applyFont="1" applyBorder="1" applyNumberFormat="1">
      <alignment horizontal="left" vertical="top"/>
    </xf>
    <xf numFmtId="49" fontId="23" fillId="0" borderId="0" xfId="0" applyFont="1" applyNumberFormat="1">
      <alignment horizontal="left" vertical="top"/>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47" fillId="0" borderId="37" xfId="0" applyFont="1" applyBorder="1" applyNumberFormat="1">
      <alignment horizontal="left" vertical="center"/>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14" fontId="23" fillId="42" borderId="37" xfId="0" applyFont="1" applyFill="1" applyBorder="1" applyNumberFormat="1">
      <alignment horizontal="left" vertical="center" wrapText="1" indent="1"/>
    </xf>
    <xf numFmtId="49" fontId="23" fillId="42" borderId="0" xfId="0" applyFont="1" applyFill="1" applyNumberFormat="1">
      <alignment horizontal="center" vertical="center" wrapText="1"/>
    </xf>
    <xf numFmtId="0" fontId="23" fillId="0" borderId="13" xfId="0" applyFont="1" applyBorder="1" applyNumberFormat="1">
      <alignment horizontal="center" vertical="center" wrapText="1"/>
    </xf>
    <xf numFmtId="0" fontId="0" fillId="37" borderId="13" xfId="0" applyFont="1" applyFill="1" applyBorder="1" applyNumberFormat="1">
      <alignment vertical="top" wrapText="1"/>
    </xf>
    <xf numFmtId="0" fontId="53" fillId="0" borderId="13" xfId="0" applyFont="1" applyBorder="1" applyNumberFormat="1">
      <alignment vertical="top" wrapText="1"/>
    </xf>
    <xf numFmtId="49" fontId="23" fillId="42" borderId="18" xfId="0" applyFont="1" applyFill="1" applyBorder="1" applyNumberFormat="1">
      <alignment vertical="center" wrapTex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0" fontId="0" fillId="41" borderId="13" xfId="0" applyFont="1" applyFill="1" applyBorder="1" applyNumberFormat="1">
      <alignment horizontal="left" vertical="center" wrapText="1" indent="1"/>
      <protection locked="0"/>
    </xf>
    <xf numFmtId="0" fontId="0" fillId="0" borderId="14" xfId="0" applyFont="1" applyBorder="1" applyNumberFormat="1">
      <alignment horizontal="center"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center" vertical="center" wrapText="1"/>
    </xf>
    <xf numFmtId="0" fontId="0" fillId="0" borderId="14" xfId="0" applyFont="1" applyBorder="1" applyNumberFormat="1">
      <alignment horizontal="center" vertical="center" wrapText="1"/>
    </xf>
    <xf numFmtId="49" fontId="23" fillId="0" borderId="0" xfId="0" applyFont="1" applyNumberFormat="1">
      <alignment horizontal="left" vertical="center" indent="1"/>
    </xf>
    <xf numFmtId="167" fontId="0" fillId="41" borderId="15" xfId="0" applyFont="1" applyFill="1" applyBorder="1" applyNumberFormat="1">
      <alignment horizontal="left" vertical="center" wrapText="1"/>
      <protection locked="0"/>
    </xf>
    <xf numFmtId="167" fontId="0" fillId="0" borderId="10" xfId="0" applyFont="1" applyBorder="1" applyNumberFormat="1">
      <alignment horizontal="left" vertical="center" wrapText="1" inden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49" fontId="0"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23" fillId="0" borderId="0" xfId="0" applyFont="1" applyNumberFormat="1">
      <alignment vertical="top" wrapText="1"/>
    </xf>
    <xf numFmtId="49" fontId="23" fillId="0" borderId="0" xfId="0" applyFont="1" applyNumberFormat="1">
      <alignment vertical="top"/>
    </xf>
    <xf numFmtId="49" fontId="23" fillId="0" borderId="0" xfId="0" applyFont="1" applyNumberFormat="1">
      <alignment vertical="top"/>
    </xf>
    <xf numFmtId="49"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0" fontId="23" fillId="42" borderId="37" xfId="0" applyFont="1" applyFill="1" applyBorder="1" applyNumberFormat="1">
      <alignment horizontal="center" vertical="top" wrapText="1"/>
    </xf>
    <xf numFmtId="49" fontId="23"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42" borderId="37" xfId="0" applyFont="1" applyFill="1" applyBorder="1" applyNumberFormat="1">
      <alignment horizontal="center" vertical="center" wrapText="1"/>
    </xf>
    <xf numFmtId="0" fontId="47" fillId="0" borderId="0" xfId="0" applyFont="1" applyNumberFormat="1">
      <alignment horizontal="left"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23"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0" fontId="52" fillId="0" borderId="13" xfId="0" applyFont="1" applyBorder="1" applyNumberFormat="1">
      <alignment horizontal="center" vertical="center"/>
    </xf>
    <xf numFmtId="49" fontId="0" fillId="41" borderId="13" xfId="0" applyFont="1" applyFill="1" applyBorder="1" applyNumberFormat="1">
      <alignment horizontal="left" vertical="center" wrapText="1"/>
      <protection locked="0"/>
    </xf>
    <xf numFmtId="0" fontId="53" fillId="0" borderId="0" xfId="0" applyFont="1" applyNumberFormat="1">
      <alignment horizontal="center" vertical="top"/>
    </xf>
    <xf numFmtId="49" fontId="23" fillId="0" borderId="37" xfId="0" applyFont="1" applyBorder="1" applyNumberFormat="1">
      <alignment horizontal="center" vertical="top" wrapText="1"/>
    </xf>
    <xf numFmtId="0" fontId="23" fillId="0" borderId="13" xfId="0" applyFont="1" applyBorder="1" applyNumberFormat="1">
      <alignment horizontal="left" vertical="center" wrapText="1"/>
    </xf>
    <xf numFmtId="0" fontId="43" fillId="0" borderId="13" xfId="0" applyFont="1" applyBorder="1" applyNumberFormat="1">
      <alignment horizontal="center" vertical="center" wrapText="1"/>
    </xf>
    <xf numFmtId="49" fontId="47" fillId="39" borderId="52" xfId="0" applyFont="1" applyFill="1" applyBorder="1" applyNumberFormat="1">
      <alignment horizontal="left" vertical="center" indent="1"/>
    </xf>
    <xf numFmtId="49" fontId="23" fillId="33" borderId="13" xfId="0" applyFont="1" applyFill="1" applyBorder="1" applyNumberFormat="1">
      <alignment horizontal="left" vertical="center" wrapText="1"/>
      <protection locked="0"/>
    </xf>
    <xf numFmtId="49" fontId="54" fillId="0" borderId="13" xfId="0" applyFont="1" applyBorder="1" applyNumberFormat="1">
      <alignment horizontal="center" vertical="center" wrapText="1"/>
    </xf>
    <xf numFmtId="167"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0" fontId="23" fillId="0" borderId="13" xfId="0" applyFont="1" applyBorder="1" applyNumberFormat="1">
      <alignment horizontal="center" vertical="center" wrapText="1"/>
    </xf>
    <xf numFmtId="0" fontId="53" fillId="0" borderId="0" xfId="0" applyFont="1" applyNumberFormat="1">
      <alignment horizontal="center" vertical="center" wrapText="1"/>
    </xf>
    <xf numFmtId="0" fontId="0" fillId="0" borderId="13" xfId="0" applyFont="1" applyBorder="1" applyNumberFormat="1">
      <alignment horizontal="left" vertical="center" wrapText="1"/>
    </xf>
    <xf numFmtId="0" fontId="23" fillId="0" borderId="37" xfId="0" applyFont="1" applyBorder="1" applyNumberFormat="1">
      <alignment horizontal="center" vertical="center" wrapText="1"/>
    </xf>
    <xf numFmtId="0" fontId="23"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2" borderId="15" xfId="0" applyFont="1" applyFill="1" applyBorder="1" applyNumberFormat="1">
      <alignment horizontal="left" vertical="center" wrapText="1"/>
    </xf>
    <xf numFmtId="0" fontId="23" fillId="0" borderId="24" xfId="0" applyFont="1" applyBorder="1" applyNumberFormat="1">
      <alignment horizontal="center" vertical="center" wrapText="1"/>
    </xf>
    <xf numFmtId="0" fontId="52" fillId="0" borderId="14" xfId="0" applyFont="1" applyBorder="1" applyNumberFormat="1">
      <alignment horizontal="center" vertical="center"/>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0" fontId="44" fillId="0" borderId="0" xfId="0" applyFont="1" applyNumberFormat="1">
      <alignment horizontal="center" vertical="center" wrapText="1"/>
    </xf>
    <xf numFmtId="0" fontId="49" fillId="0" borderId="0" xfId="0" applyFont="1" applyNumberFormat="1">
      <alignment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vertical="top"/>
    </xf>
    <xf numFmtId="49" fontId="23" fillId="0" borderId="0" xfId="0" applyFont="1" applyNumberFormat="1">
      <alignment vertical="top"/>
    </xf>
    <xf numFmtId="0" fontId="44" fillId="37" borderId="0" xfId="0" applyFont="1" applyFill="1" applyNumberFormat="1">
      <alignment vertical="top" wrapText="1"/>
    </xf>
    <xf numFmtId="49" fontId="126" fillId="41" borderId="13" xfId="0" applyFont="1" applyFill="1" applyBorder="1" applyNumberFormat="1">
      <alignment horizontal="left" vertical="center" wrapText="1"/>
      <protection locked="0"/>
    </xf>
    <xf numFmtId="49" fontId="44" fillId="0" borderId="0" xfId="0" applyFont="1" applyNumberFormat="1">
      <alignment horizontal="center" vertical="center" wrapText="1"/>
    </xf>
    <xf numFmtId="0" fontId="44" fillId="0" borderId="25" xfId="0" applyFont="1" applyBorder="1" applyNumberFormat="1">
      <alignment horizontal="center" vertical="center" wrapText="1"/>
    </xf>
    <xf numFmtId="49" fontId="127" fillId="0" borderId="0" xfId="0" applyFont="1" applyNumberFormat="1">
      <alignment horizontal="center" vertical="top" wrapText="1"/>
    </xf>
    <xf numFmtId="49" fontId="0" fillId="38" borderId="37" xfId="0" applyFont="1" applyFill="1" applyBorder="1" applyNumberFormat="1">
      <alignment vertical="top"/>
    </xf>
    <xf numFmtId="49" fontId="0" fillId="0" borderId="37" xfId="0" applyFont="1" applyBorder="1" applyNumberFormat="1">
      <alignment vertical="top"/>
    </xf>
    <xf numFmtId="49" fontId="0" fillId="41" borderId="37" xfId="0" applyFont="1" applyFill="1" applyBorder="1" applyNumberFormat="1">
      <alignment vertical="top"/>
      <protection locked="0"/>
    </xf>
    <xf numFmtId="49" fontId="0" fillId="41" borderId="18" xfId="0" applyFont="1" applyFill="1" applyBorder="1" applyNumberFormat="1">
      <alignment vertical="top"/>
      <protection locked="0"/>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49" fontId="0" fillId="0" borderId="0" xfId="0" applyFont="1" applyNumberFormat="1">
      <alignment vertical="top"/>
    </xf>
    <xf numFmtId="49" fontId="0" fillId="0" borderId="20" xfId="0" applyFont="1" applyBorder="1" applyNumberFormat="1">
      <alignment vertical="top"/>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44"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9" borderId="16" xfId="0" applyFont="1" applyFill="1" applyBorder="1" applyNumberFormat="1">
      <alignment vertical="center"/>
    </xf>
    <xf numFmtId="49" fontId="0" fillId="0" borderId="37" xfId="0" applyFont="1" applyBorder="1" applyNumberFormat="1">
      <alignment horizontal="left" vertical="top"/>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0" fillId="42" borderId="37" xfId="0" applyFont="1" applyFill="1" applyBorder="1" applyNumberFormat="1">
      <alignment horizontal="left" vertical="center" wrapText="1"/>
      <protection locked="0"/>
    </xf>
    <xf numFmtId="49" fontId="0" fillId="0" borderId="0" xfId="0" applyFont="1" applyNumberFormat="1">
      <alignment vertical="top"/>
    </xf>
    <xf numFmtId="49" fontId="0" fillId="33" borderId="37" xfId="0" applyFont="1" applyFill="1" applyBorder="1" applyNumberFormat="1">
      <alignment vertical="top"/>
      <protection locked="0"/>
    </xf>
    <xf numFmtId="49" fontId="0" fillId="0" borderId="20"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44" fillId="0" borderId="37" xfId="0" applyFont="1" applyBorder="1" applyNumberFormat="1">
      <alignment vertical="center" wrapText="1"/>
    </xf>
    <xf numFmtId="49" fontId="44" fillId="0" borderId="37" xfId="0" applyFont="1" applyBorder="1" applyNumberFormat="1">
      <alignment horizontal="center" vertical="center" wrapText="1"/>
    </xf>
    <xf numFmtId="49" fontId="44" fillId="0" borderId="20" xfId="0" applyFont="1" applyBorder="1" applyNumberFormat="1">
      <alignment vertical="center" wrapText="1"/>
    </xf>
    <xf numFmtId="49" fontId="44" fillId="0" borderId="0" xfId="0" applyFont="1" applyNumberFormat="1">
      <alignment vertical="center" wrapText="1"/>
    </xf>
    <xf numFmtId="49" fontId="44" fillId="0" borderId="0" xfId="0" applyFont="1" applyNumberFormat="1">
      <alignment horizontal="center" vertical="center" wrapText="1"/>
    </xf>
    <xf numFmtId="0" fontId="23" fillId="37" borderId="24" xfId="0" applyFont="1" applyFill="1" applyBorder="1" applyNumberFormat="1">
      <alignment horizontal="center" vertical="center" wrapText="1"/>
    </xf>
    <xf numFmtId="0" fontId="23" fillId="0" borderId="37" xfId="0" applyFont="1" applyBorder="1" applyNumberFormat="1">
      <alignment horizontal="left" vertical="top" wrapText="1"/>
    </xf>
    <xf numFmtId="0" fontId="0" fillId="0" borderId="14" xfId="0" applyFont="1" applyBorder="1" applyNumberFormat="1">
      <alignment horizontal="center" vertical="center" wrapText="1"/>
    </xf>
    <xf numFmtId="4" fontId="0" fillId="41" borderId="14" xfId="0" applyFont="1" applyFill="1" applyBorder="1" applyNumberFormat="1">
      <alignment horizontal="right" vertical="center" wrapText="1"/>
      <protection locked="0"/>
    </xf>
    <xf numFmtId="0" fontId="0" fillId="0" borderId="14" xfId="0" applyFont="1" applyBorder="1" applyNumberFormat="1">
      <alignment horizontal="center" vertical="center" wrapText="1"/>
    </xf>
    <xf numFmtId="0" fontId="23" fillId="42" borderId="13" xfId="0" applyFont="1" applyFill="1" applyBorder="1" applyNumberFormat="1">
      <alignment horizontal="left" vertical="center" wrapText="1"/>
    </xf>
    <xf numFmtId="49" fontId="0" fillId="37" borderId="18" xfId="0" applyFont="1" applyFill="1" applyBorder="1" applyNumberFormat="1">
      <alignment horizontal="center" vertical="center" wrapText="1"/>
    </xf>
    <xf numFmtId="0" fontId="0" fillId="0" borderId="24" xfId="0" applyFont="1" applyBorder="1" applyNumberFormat="1">
      <alignment horizontal="center" vertical="center" wrapText="1"/>
    </xf>
    <xf numFmtId="0" fontId="23" fillId="42" borderId="15" xfId="0" applyFont="1" applyFill="1" applyBorder="1" applyNumberFormat="1">
      <alignment horizontal="left" vertical="center" wrapText="1"/>
    </xf>
    <xf numFmtId="49" fontId="0" fillId="0" borderId="13" xfId="0" applyFont="1" applyBorder="1" applyNumberFormat="1">
      <alignment horizontal="center" vertical="center" wrapText="1"/>
    </xf>
    <xf numFmtId="49" fontId="52" fillId="55" borderId="0" xfId="0" applyFont="1" applyFill="1" applyNumberFormat="1">
      <alignment vertical="center" wrapText="1"/>
    </xf>
    <xf numFmtId="0" fontId="53" fillId="0" borderId="0" xfId="0" applyFont="1" applyNumberFormat="1">
      <alignment vertical="top" wrapText="1"/>
    </xf>
    <xf numFmtId="49" fontId="39" fillId="0" borderId="0" xfId="0" applyFont="1" applyNumberFormat="1">
      <alignment horizontal="center" vertical="top" wrapText="1"/>
    </xf>
    <xf numFmtId="49" fontId="23" fillId="0" borderId="0" xfId="0" applyFont="1" applyNumberFormat="1">
      <alignment horizontal="center" vertical="top" wrapText="1"/>
    </xf>
    <xf numFmtId="49" fontId="23" fillId="37" borderId="0" xfId="0" applyFont="1" applyFill="1" applyNumberFormat="1">
      <alignment horizontal="center" vertical="top" wrapText="1"/>
    </xf>
    <xf numFmtId="0" fontId="0" fillId="0" borderId="3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0" fontId="23" fillId="41" borderId="13" xfId="0" applyFont="1" applyFill="1" applyBorder="1" applyNumberFormat="1">
      <alignment horizontal="center" vertical="center" wrapText="1"/>
      <protection locked="0"/>
    </xf>
    <xf numFmtId="49" fontId="23" fillId="38" borderId="13" xfId="0" applyFont="1" applyFill="1" applyBorder="1" applyNumberFormat="1">
      <alignment horizontal="center" vertical="center" wrapText="1"/>
    </xf>
    <xf numFmtId="0" fontId="0" fillId="0" borderId="13" xfId="0" applyFont="1" applyBorder="1" applyNumberFormat="1">
      <alignment horizontal="left" vertical="top" wrapText="1"/>
    </xf>
    <xf numFmtId="14" fontId="23" fillId="42" borderId="13" xfId="0" applyFont="1" applyFill="1" applyBorder="1" applyNumberFormat="1">
      <alignment horizontal="left" vertical="center" wrapText="1" indent="1"/>
    </xf>
    <xf numFmtId="49" fontId="32" fillId="0" borderId="13"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24" xfId="0" applyFont="1" applyBorder="1" applyNumberFormat="1">
      <alignment horizontal="left" vertical="center" wrapText="1" inden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165" fontId="23" fillId="0" borderId="24" xfId="0" applyFont="1" applyBorder="1" applyNumberFormat="1">
      <alignment horizontal="center" vertical="center" wrapText="1"/>
    </xf>
    <xf numFmtId="0" fontId="23" fillId="0" borderId="0" xfId="0" applyFont="1" applyNumberFormat="1">
      <alignment horizontal="right" vertical="center" wrapText="1"/>
    </xf>
    <xf numFmtId="0" fontId="23" fillId="37" borderId="13" xfId="0" applyFont="1" applyFill="1" applyBorder="1" applyNumberFormat="1">
      <alignment vertical="top" wrapText="1"/>
    </xf>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49" fontId="0" fillId="39" borderId="30" xfId="0" applyFont="1" applyFill="1" applyBorder="1" applyNumberFormat="1">
      <alignment horizontal="right" vertical="center" wrapText="1"/>
    </xf>
    <xf numFmtId="0" fontId="23" fillId="0" borderId="0" xfId="0" applyFont="1" applyNumberFormat="1">
      <alignment horizontal="left" vertical="center" wrapText="1"/>
    </xf>
    <xf numFmtId="0" fontId="0" fillId="49" borderId="0" xfId="0" applyFont="1" applyFill="1" applyNumberFormat="1">
      <alignment horizontal="right" vertical="top" wrapText="1"/>
    </xf>
    <xf numFmtId="0" fontId="23" fillId="0" borderId="0" xfId="0" applyFont="1" applyNumberFormat="1">
      <alignment horizontal="left" vertical="top" wrapText="1"/>
    </xf>
    <xf numFmtId="14" fontId="23" fillId="0" borderId="24" xfId="0" applyFont="1" applyBorder="1" applyNumberFormat="1">
      <alignment horizontal="left" vertical="center" wrapText="1" inden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38" borderId="13" xfId="0" applyFont="1" applyFill="1" applyBorder="1" applyNumberFormat="1">
      <alignment horizontal="left" vertical="center" wrapText="1"/>
    </xf>
    <xf numFmtId="165"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54" fillId="0" borderId="0" xfId="0" applyFont="1" applyNumberFormat="1">
      <alignment horizontal="center" vertical="center" wrapText="1"/>
    </xf>
    <xf numFmtId="49" fontId="23" fillId="41" borderId="13" xfId="0" applyFont="1" applyFill="1" applyBorder="1" applyNumberFormat="1">
      <alignment horizontal="left" vertical="center" wrapText="1"/>
      <protection locked="0"/>
    </xf>
    <xf numFmtId="0" fontId="23" fillId="37" borderId="37" xfId="0" applyFont="1" applyFill="1" applyBorder="1" applyNumberFormat="1">
      <alignment vertical="center" wrapText="1"/>
    </xf>
    <xf numFmtId="165" fontId="52" fillId="0" borderId="20" xfId="0" applyFont="1" applyBorder="1" applyNumberFormat="1">
      <alignment horizontal="center" vertical="center" wrapText="1"/>
    </xf>
    <xf numFmtId="165" fontId="52" fillId="0" borderId="21" xfId="0" applyFont="1" applyBorder="1" applyNumberFormat="1">
      <alignment horizontal="center" vertical="center" wrapText="1"/>
    </xf>
    <xf numFmtId="168" fontId="23" fillId="41" borderId="13" xfId="0" applyFont="1" applyFill="1" applyBorder="1" applyNumberFormat="1">
      <alignment horizontal="left" vertical="center" wrapText="1" indent="1"/>
      <protection locked="0"/>
    </xf>
    <xf numFmtId="167" fontId="0" fillId="41" borderId="16" xfId="0" applyFont="1" applyFill="1" applyBorder="1" applyNumberFormat="1">
      <alignment horizontal="left" vertical="center" wrapText="1" indent="1"/>
      <protection locked="0"/>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34" fillId="39" borderId="30" xfId="0" applyFont="1" applyFill="1" applyBorder="1" applyNumberFormat="1">
      <alignment horizontal="left" vertical="center" wrapText="1"/>
    </xf>
    <xf numFmtId="0" fontId="23" fillId="41" borderId="13" xfId="0" applyFont="1" applyFill="1" applyBorder="1" applyNumberFormat="1">
      <alignment horizontal="left" vertical="top" wrapText="1" indent="1"/>
      <protection locked="0"/>
    </xf>
    <xf numFmtId="0" fontId="23" fillId="0" borderId="16" xfId="0" applyFont="1" applyBorder="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0" xfId="0" applyFont="1" applyNumberFormat="1">
      <alignment horizontal="center" vertical="center" wrapText="1"/>
    </xf>
    <xf numFmtId="0" fontId="43" fillId="0" borderId="0" xfId="0" applyFont="1" applyNumberFormat="1">
      <alignment horizontal="center" vertical="center" wrapText="1"/>
    </xf>
    <xf numFmtId="0" fontId="43" fillId="0" borderId="0" xfId="0" applyFont="1" applyNumberFormat="1">
      <alignment horizontal="center" vertical="center" wrapText="1"/>
    </xf>
    <xf numFmtId="0" fontId="43" fillId="0" borderId="0" xfId="0" applyFont="1" applyNumberFormat="1">
      <alignment horizontal="center" vertical="center" wrapText="1"/>
    </xf>
    <xf numFmtId="0" fontId="43" fillId="0" borderId="13" xfId="0" applyFont="1" applyBorder="1" applyNumberFormat="1">
      <alignment horizontal="center" vertical="center" wrapText="1"/>
    </xf>
    <xf numFmtId="0" fontId="23" fillId="0" borderId="13" xfId="0" applyFont="1" applyBorder="1" applyNumberFormat="1">
      <alignment horizontal="left" vertical="top"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0"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167" fontId="0" fillId="41" borderId="13" xfId="0" applyFont="1" applyFill="1" applyBorder="1" applyNumberFormat="1">
      <alignment horizontal="center" vertical="center" wrapText="1"/>
      <protection locked="0"/>
    </xf>
    <xf numFmtId="0" fontId="84" fillId="37" borderId="20" xfId="0" applyFont="1" applyFill="1" applyBorder="1" applyNumberFormat="1">
      <alignment horizontal="center"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37" borderId="24" xfId="0" applyFont="1" applyFill="1" applyBorder="1" applyNumberFormat="1">
      <alignment horizontal="center" vertical="center" wrapText="1"/>
    </xf>
    <xf numFmtId="0" fontId="54" fillId="0" borderId="16" xfId="0" applyFont="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23" fillId="37" borderId="18" xfId="0" applyFont="1" applyFill="1" applyBorder="1" applyNumberFormat="1">
      <alignment horizontal="left" vertical="center" wrapText="1"/>
    </xf>
    <xf numFmtId="4" fontId="23" fillId="41" borderId="13" xfId="0" applyFont="1" applyFill="1" applyBorder="1" applyNumberFormat="1">
      <alignment horizontal="left" vertical="center" wrapText="1" indent="1"/>
      <protection locked="0"/>
    </xf>
    <xf numFmtId="49" fontId="23" fillId="33" borderId="18" xfId="0" applyFont="1" applyFill="1" applyBorder="1" applyNumberFormat="1">
      <alignment horizontal="left" vertical="center" wrapText="1" indent="6"/>
      <protection locked="0"/>
    </xf>
    <xf numFmtId="49" fontId="23" fillId="0" borderId="0" xfId="0" applyFont="1" applyNumberFormat="1">
      <alignment vertical="center" wrapText="1"/>
    </xf>
    <xf numFmtId="49" fontId="54"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7" borderId="30" xfId="0" applyFont="1" applyFill="1" applyBorder="1" applyNumberFormat="1">
      <alignment horizontal="center" vertical="center" wrapText="1"/>
    </xf>
    <xf numFmtId="0" fontId="53" fillId="0" borderId="0" xfId="0" applyFont="1" applyNumberFormat="1">
      <alignment horizontal="center" vertical="center" wrapText="1"/>
    </xf>
    <xf numFmtId="0" fontId="23" fillId="0" borderId="0" xfId="0" applyFont="1" applyNumberFormat="1">
      <alignment horizontal="right" vertical="center" wrapText="1"/>
    </xf>
    <xf numFmtId="49" fontId="23" fillId="42" borderId="16" xfId="0" applyFont="1" applyFill="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23" fillId="0" borderId="0" xfId="0" applyFont="1" applyNumberFormat="1">
      <alignment horizontal="left" vertical="center" indent="1"/>
    </xf>
    <xf numFmtId="49" fontId="23" fillId="0" borderId="0" xfId="0" applyFont="1" applyNumberFormat="1">
      <alignment horizontal="left" vertical="center"/>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7" borderId="0" xfId="0" applyFont="1" applyFill="1" applyNumberFormat="1">
      <alignment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33" borderId="13" xfId="0" applyFont="1" applyFill="1" applyBorder="1" applyNumberFormat="1">
      <alignment horizontal="left" vertical="center" indent="1"/>
      <protection locked="0"/>
    </xf>
    <xf numFmtId="49" fontId="23" fillId="37" borderId="13" xfId="0" applyFont="1" applyFill="1" applyBorder="1" applyNumberFormat="1">
      <alignment horizontal="center" vertical="center" wrapText="1"/>
    </xf>
    <xf numFmtId="0" fontId="22" fillId="47" borderId="62" xfId="0" applyFont="1" applyFill="1" applyBorder="1" applyNumberFormat="1">
      <alignment horizontal="right" vertical="center" wrapText="1" indent="1"/>
    </xf>
    <xf numFmtId="0" fontId="22" fillId="47" borderId="65" xfId="0" applyFont="1" applyFill="1" applyBorder="1" applyNumberFormat="1">
      <alignment horizontal="right" vertical="center" wrapText="1" indent="1"/>
    </xf>
    <xf numFmtId="0" fontId="22" fillId="47" borderId="39" xfId="0" applyFont="1" applyFill="1" applyBorder="1" applyNumberFormat="1">
      <alignment horizontal="right" vertical="center" wrapText="1" indent="1"/>
    </xf>
    <xf numFmtId="0" fontId="22" fillId="47" borderId="0" xfId="0" applyFont="1" applyFill="1" applyNumberFormat="1">
      <alignment horizontal="right" vertical="center" wrapText="1" indent="1"/>
    </xf>
    <xf numFmtId="0" fontId="124" fillId="0" borderId="0" xfId="0" applyFont="1" applyNumberFormat="1">
      <alignment vertical="center" wrapText="1"/>
    </xf>
    <xf numFmtId="0" fontId="22" fillId="47" borderId="66" xfId="0" applyFont="1" applyFill="1" applyBorder="1" applyNumberFormat="1">
      <alignment horizontal="right" vertical="center" wrapText="1" indent="1"/>
    </xf>
    <xf numFmtId="0" fontId="22" fillId="47" borderId="64"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124" fillId="0" borderId="0" xfId="0" applyFont="1" applyNumberFormat="1">
      <alignment vertical="top" wrapText="1"/>
    </xf>
    <xf numFmtId="49" fontId="70" fillId="0" borderId="0" xfId="0" applyFont="1" applyNumberFormat="1">
      <alignment vertical="top" wrapText="1"/>
    </xf>
    <xf numFmtId="0" fontId="106" fillId="0" borderId="0" xfId="0" applyFont="1" applyNumberFormat="1">
      <alignment vertical="center" wrapText="1"/>
    </xf>
    <xf numFmtId="0" fontId="106" fillId="0" borderId="0" xfId="0" applyFont="1" applyNumberFormat="1">
      <alignment vertical="center"/>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100" fillId="0" borderId="0" xfId="0" applyFont="1" applyNumberFormat="1">
      <alignment horizontal="left" vertical="center" wrapText="1"/>
    </xf>
    <xf numFmtId="14" fontId="97"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16"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23" fillId="0" borderId="0" xfId="0" applyFont="1" applyNumberFormat="1">
      <alignment horizontal="center" vertical="center" wrapText="1"/>
    </xf>
    <xf numFmtId="0" fontId="23" fillId="43" borderId="0" xfId="0" applyFont="1" applyFill="1" applyNumberFormat="1">
      <alignment horizontal="center"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9"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0" fontId="23" fillId="42" borderId="24"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20"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20" xfId="0" applyFont="1" applyBorder="1" applyNumberFormat="1">
      <alignment horizontal="left" vertical="center" wrapText="1"/>
    </xf>
    <xf numFmtId="0" fontId="0" fillId="0" borderId="13" xfId="0" applyFont="1" applyBorder="1" applyNumberFormat="1">
      <alignment horizontal="center" vertical="top"/>
    </xf>
    <xf numFmtId="49" fontId="0" fillId="0" borderId="13" xfId="0" applyFont="1" applyBorder="1" applyNumberFormat="1">
      <alignment vertical="top"/>
    </xf>
    <xf numFmtId="0" fontId="23" fillId="0" borderId="13" xfId="0" applyFont="1" applyBorder="1" applyNumberFormat="1">
      <alignment horizontal="left" vertical="top" wrapText="1"/>
    </xf>
    <xf numFmtId="49" fontId="0" fillId="0" borderId="13" xfId="0" applyFont="1" applyBorder="1" applyNumberFormat="1">
      <alignment horizontal="left" vertical="top"/>
    </xf>
    <xf numFmtId="0" fontId="23" fillId="42" borderId="18" xfId="0" applyFont="1" applyFill="1" applyBorder="1" applyNumberFormat="1">
      <alignment horizontal="center" vertical="top" wrapText="1"/>
    </xf>
    <xf numFmtId="0" fontId="23" fillId="42" borderId="37" xfId="0" applyFont="1" applyFill="1" applyBorder="1" applyNumberFormat="1">
      <alignment horizontal="center" vertical="top" wrapText="1"/>
    </xf>
    <xf numFmtId="0" fontId="23" fillId="42" borderId="24"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3" xfId="0" applyFont="1" applyBorder="1" applyNumberFormat="1">
      <alignment horizontal="center" vertical="center"/>
    </xf>
    <xf numFmtId="0" fontId="0" fillId="0" borderId="20" xfId="0" applyFont="1" applyBorder="1" applyNumberFormat="1">
      <alignment horizontal="center" vertical="center"/>
    </xf>
    <xf numFmtId="0" fontId="0" fillId="0" borderId="0" xfId="0" applyFont="1" applyNumberForma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8" xfId="0" applyFont="1" applyBorder="1" applyNumberFormat="1">
      <alignment horizontal="center" vertical="top"/>
    </xf>
    <xf numFmtId="0" fontId="0" fillId="0" borderId="37" xfId="0" applyFont="1" applyBorder="1" applyNumberFormat="1">
      <alignment horizontal="center" vertical="top"/>
    </xf>
    <xf numFmtId="0" fontId="0" fillId="0" borderId="24" xfId="0" applyFont="1" applyBorder="1" applyNumberFormat="1">
      <alignment horizontal="center" vertical="top"/>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49" fontId="54" fillId="37" borderId="28" xfId="0" applyFont="1" applyFill="1" applyBorder="1" applyNumberFormat="1">
      <alignment horizontal="center"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23" fillId="0" borderId="28" xfId="0" applyFont="1" applyBorder="1" applyNumberFormat="1">
      <alignment horizontal="left" vertical="center" indent="1"/>
    </xf>
    <xf numFmtId="0" fontId="0"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49" fontId="23" fillId="0" borderId="13" xfId="0" applyFont="1" applyBorder="1" applyNumberFormat="1">
      <alignment horizontal="center" vertical="center"/>
    </xf>
    <xf numFmtId="49" fontId="23" fillId="0" borderId="18" xfId="0" applyFont="1" applyBorder="1" applyNumberFormat="1">
      <alignment horizontal="center" vertical="center"/>
    </xf>
    <xf numFmtId="0" fontId="23" fillId="0" borderId="13" xfId="0" applyFont="1" applyBorder="1" applyNumberFormat="1">
      <alignment horizontal="left" vertical="center" wrapText="1"/>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23" fillId="0" borderId="20" xfId="0" applyFont="1" applyBorder="1" applyNumberFormat="1">
      <alignment horizontal="center" vertical="center"/>
    </xf>
    <xf numFmtId="0" fontId="23" fillId="0" borderId="0" xfId="0" applyFont="1" applyNumberFormat="1">
      <alignment horizontal="center" vertical="center"/>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0" fontId="23" fillId="0" borderId="15" xfId="0" applyFont="1" applyBorder="1" applyNumberFormat="1">
      <alignment horizontal="left" vertical="center" wrapText="1"/>
    </xf>
    <xf numFmtId="0" fontId="23" fillId="0" borderId="28" xfId="0" applyFont="1" applyBorder="1" applyNumberFormat="1">
      <alignment horizontal="left" vertical="center" wrapText="1" indent="1"/>
    </xf>
    <xf numFmtId="49" fontId="23" fillId="37" borderId="0" xfId="0" applyFont="1" applyFill="1" applyNumberFormat="1">
      <alignment horizontal="center" vertical="center" wrapText="1"/>
    </xf>
    <xf numFmtId="0" fontId="52" fillId="0" borderId="0" xfId="0" applyFont="1" applyNumberFormat="1">
      <alignment horizontal="right" vertical="top"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52" fillId="0" borderId="0" xfId="0" applyFont="1" applyNumberFormat="1">
      <alignment horizontal="left" vertical="top" wrapText="1" indent="1"/>
    </xf>
    <xf numFmtId="0" fontId="97" fillId="37" borderId="0" xfId="0" applyFont="1" applyFill="1" applyNumberFormat="1">
      <alignment horizontal="left"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37" borderId="18" xfId="0" applyFont="1" applyFill="1" applyBorder="1" applyNumberFormat="1">
      <alignment horizontal="left" vertical="top" wrapText="1"/>
    </xf>
    <xf numFmtId="0" fontId="23" fillId="37" borderId="37" xfId="0" applyFont="1" applyFill="1" applyBorder="1" applyNumberFormat="1">
      <alignment horizontal="left" vertical="top" wrapText="1"/>
    </xf>
    <xf numFmtId="0" fontId="23" fillId="37" borderId="24" xfId="0" applyFont="1" applyFill="1" applyBorder="1" applyNumberFormat="1">
      <alignment horizontal="left" vertical="top" wrapText="1"/>
    </xf>
    <xf numFmtId="0" fontId="23" fillId="37" borderId="25" xfId="0" applyFont="1" applyFill="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8" xfId="0" applyFont="1" applyBorder="1" applyNumberFormat="1">
      <alignment horizontal="left" vertical="top" wrapText="1"/>
    </xf>
    <xf numFmtId="0" fontId="0" fillId="0" borderId="24" xfId="0" applyFont="1" applyBorder="1" applyNumberFormat="1">
      <alignment horizontal="left" vertical="top"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53" fillId="0" borderId="0" xfId="0" applyFont="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0" xfId="0" applyFont="1" applyBorder="1" applyNumberFormat="1">
      <alignment horizontal="left" vertical="top" wrapText="1" indent="1"/>
    </xf>
    <xf numFmtId="49" fontId="0" fillId="0" borderId="38" xfId="0" applyFont="1" applyBorder="1" applyNumberFormat="1">
      <alignment horizontal="center" vertical="center" wrapText="1"/>
    </xf>
    <xf numFmtId="49" fontId="0" fillId="0" borderId="31"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8" xfId="0" applyFont="1" applyFill="1" applyBorder="1" applyNumberFormat="1">
      <alignment horizontal="left" vertical="center" wrapText="1"/>
    </xf>
    <xf numFmtId="0" fontId="23" fillId="0" borderId="2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0" fillId="0" borderId="37" xfId="0" applyFont="1" applyBorder="1" applyNumberFormat="1">
      <alignment horizontal="left" vertical="top" wrapText="1"/>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0" fillId="37" borderId="13" xfId="0" applyFont="1" applyFill="1" applyBorder="1" applyNumberFormat="1">
      <alignment horizontal="right" vertical="center" wrapText="1" indent="1"/>
    </xf>
    <xf numFmtId="167" fontId="23" fillId="38" borderId="13" xfId="0" applyFont="1" applyFill="1" applyBorder="1" applyNumberFormat="1">
      <alignment horizontal="left" vertical="center" wrapText="1" indent="1"/>
    </xf>
    <xf numFmtId="0" fontId="23" fillId="38" borderId="13" xfId="0" applyFont="1" applyFill="1" applyBorder="1" applyNumberFormat="1">
      <alignment horizontal="left" vertical="center" wrapText="1" indent="1"/>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49" fontId="53" fillId="0" borderId="13" xfId="0" applyFont="1" applyBorder="1" applyNumberFormat="1">
      <alignment horizontal="center" vertical="center" wrapText="1"/>
    </xf>
    <xf numFmtId="167" fontId="53" fillId="0" borderId="13" xfId="0" applyFont="1" applyBorder="1" applyNumberFormat="1">
      <alignment horizontal="center" vertical="center" wrapText="1"/>
    </xf>
    <xf numFmtId="0" fontId="23" fillId="0" borderId="0" xfId="0" applyFont="1" applyNumberFormat="1">
      <alignment horizontal="left" vertical="top" wrapText="1"/>
    </xf>
    <xf numFmtId="0" fontId="53" fillId="0" borderId="13" xfId="0" applyFont="1" applyBorder="1" applyNumberFormat="1">
      <alignment horizontal="center" vertical="center"/>
    </xf>
    <xf numFmtId="0" fontId="53" fillId="0" borderId="15" xfId="0" applyFont="1" applyBorder="1" applyNumberFormat="1">
      <alignment horizontal="center" vertical="center"/>
    </xf>
    <xf numFmtId="0" fontId="53" fillId="0" borderId="13" xfId="0" applyFont="1" applyBorder="1" applyNumberFormat="1">
      <alignment horizontal="center" vertical="center" wrapText="1"/>
    </xf>
    <xf numFmtId="0" fontId="53" fillId="0" borderId="15" xfId="0" applyFont="1" applyBorder="1" applyNumberFormat="1">
      <alignment horizontal="center" vertical="center" wrapText="1"/>
    </xf>
    <xf numFmtId="0" fontId="54" fillId="0" borderId="0" xfId="0" applyFont="1" applyNumberFormat="1">
      <alignment horizontal="center" vertical="center" wrapText="1"/>
    </xf>
    <xf numFmtId="167"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167"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0" fontId="53" fillId="0" borderId="18" xfId="0" applyFont="1" applyBorder="1" applyNumberFormat="1">
      <alignment horizontal="center" vertical="center" wrapText="1"/>
    </xf>
    <xf numFmtId="0" fontId="53" fillId="0" borderId="2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23" fillId="37" borderId="37"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49" fontId="47" fillId="39" borderId="37" xfId="0" applyFont="1" applyFill="1" applyBorder="1" applyNumberFormat="1">
      <alignment horizontal="center" vertical="center" textRotation="90" wrapText="1"/>
    </xf>
    <xf numFmtId="49" fontId="47" fillId="39" borderId="24" xfId="0" applyFont="1" applyFill="1" applyBorder="1" applyNumberFormat="1">
      <alignment horizontal="center" vertical="center" textRotation="90" wrapText="1"/>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0" fontId="52" fillId="0" borderId="18" xfId="0" applyFont="1" applyBorder="1" applyNumberFormat="1">
      <alignment horizontal="left" vertical="top" wrapText="1"/>
    </xf>
    <xf numFmtId="0" fontId="52" fillId="0" borderId="37" xfId="0" applyFont="1" applyBorder="1" applyNumberFormat="1">
      <alignment horizontal="left" vertical="top" wrapText="1"/>
    </xf>
    <xf numFmtId="0" fontId="52" fillId="0" borderId="24" xfId="0" applyFont="1" applyBorder="1" applyNumberFormat="1">
      <alignment horizontal="left" vertical="top" wrapTex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54" fillId="0" borderId="18" xfId="0" applyFont="1" applyBorder="1" applyNumberFormat="1">
      <alignment horizontal="center" vertical="center" wrapText="1"/>
    </xf>
    <xf numFmtId="0" fontId="54"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1" xfId="0" applyFont="1" applyBorder="1" applyNumberFormat="1">
      <alignment horizontal="center" vertical="center" wrapText="1"/>
    </xf>
    <xf numFmtId="0" fontId="0" fillId="37" borderId="20" xfId="0" applyFont="1" applyFill="1" applyBorder="1" applyNumberFormat="1">
      <alignment horizontal="center" vertical="center" wrapText="1"/>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0" fillId="0" borderId="0" xfId="0" applyFont="1" applyNumberFormat="1">
      <alignment horizontal="left" vertical="top" wrapText="1"/>
    </xf>
    <xf numFmtId="0" fontId="23" fillId="0" borderId="20" xfId="0" applyFont="1" applyBorder="1" applyNumberFormat="1">
      <alignment horizontal="left" vertical="center" wrapText="1" indent="1"/>
    </xf>
    <xf numFmtId="49" fontId="0" fillId="41" borderId="13" xfId="0" applyFont="1" applyFill="1" applyBorder="1" applyNumberFormat="1">
      <alignment horizontal="center" vertical="center" wrapText="1"/>
      <protection locked="0"/>
    </xf>
    <xf numFmtId="0" fontId="23"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42" borderId="21" xfId="0" applyFont="1" applyFill="1" applyBorder="1" applyNumberFormat="1">
      <alignment horizontal="left" vertical="center" wrapText="1"/>
    </xf>
    <xf numFmtId="49" fontId="23" fillId="0" borderId="13" xfId="0" applyFont="1" applyBorder="1" applyNumberFormat="1">
      <alignment horizontal="left" vertical="center" wrapText="1" inden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44"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6"/>
      <protection locked="0"/>
    </xf>
    <xf numFmtId="49" fontId="23" fillId="41" borderId="37" xfId="0" applyFont="1" applyFill="1" applyBorder="1" applyNumberFormat="1">
      <alignment horizontal="left" vertical="center" wrapText="1" indent="6"/>
      <protection locked="0"/>
    </xf>
    <xf numFmtId="49" fontId="23" fillId="41" borderId="24" xfId="0" applyFont="1" applyFill="1" applyBorder="1" applyNumberFormat="1">
      <alignment horizontal="left" vertical="center" wrapText="1" indent="6"/>
      <protection locked="0"/>
    </xf>
    <xf numFmtId="0" fontId="23" fillId="37" borderId="18" xfId="0" applyFont="1" applyFill="1" applyBorder="1" applyNumberFormat="1">
      <alignment horizontal="left" vertical="center" wrapText="1"/>
    </xf>
    <xf numFmtId="0" fontId="23" fillId="37" borderId="37" xfId="0" applyFont="1" applyFill="1" applyBorder="1" applyNumberFormat="1">
      <alignment horizontal="left" vertical="center" wrapText="1"/>
    </xf>
    <xf numFmtId="0" fontId="23" fillId="37" borderId="24" xfId="0" applyFont="1" applyFill="1" applyBorder="1" applyNumberFormat="1">
      <alignment horizontal="left" vertical="center" wrapText="1"/>
    </xf>
    <xf numFmtId="0" fontId="54" fillId="0" borderId="25" xfId="0" applyFont="1" applyBorder="1" applyNumberFormat="1">
      <alignment horizontal="center" vertical="top" wrapText="1"/>
    </xf>
    <xf numFmtId="0" fontId="0" fillId="37" borderId="25"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49" fontId="23" fillId="42" borderId="13" xfId="0" applyFont="1" applyFill="1" applyBorder="1" applyNumberFormat="1">
      <alignment horizontal="left" vertical="center" wrapText="1" inden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0" fontId="52" fillId="0" borderId="13" xfId="0" applyFont="1" applyBorder="1" applyNumberFormat="1">
      <alignment horizontal="left" vertical="top" wrapText="1"/>
    </xf>
    <xf numFmtId="0" fontId="23" fillId="41" borderId="14" xfId="0" applyFont="1" applyFill="1" applyBorder="1" applyNumberFormat="1">
      <alignment horizontal="center" vertical="center" wrapTex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left" vertical="center" wrapText="1" indent="1"/>
      <protection locked="0"/>
    </xf>
    <xf numFmtId="49" fontId="23" fillId="33" borderId="18" xfId="0" applyFont="1" applyFill="1" applyBorder="1" applyNumberFormat="1">
      <alignment horizontal="left" vertical="center" wrapText="1" indent="6"/>
      <protection locked="0"/>
    </xf>
    <xf numFmtId="49" fontId="23" fillId="33" borderId="37" xfId="0" applyFont="1" applyFill="1" applyBorder="1" applyNumberFormat="1">
      <alignment horizontal="left" vertical="center" wrapText="1" indent="6"/>
      <protection locked="0"/>
    </xf>
    <xf numFmtId="49" fontId="23" fillId="33" borderId="24" xfId="0" applyFont="1" applyFill="1" applyBorder="1" applyNumberFormat="1">
      <alignment horizontal="left" vertical="center" wrapText="1" indent="6"/>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42" borderId="30" xfId="0" applyFont="1" applyFill="1" applyBorder="1" applyNumberFormat="1">
      <alignment horizontal="center" vertical="center" wrapText="1"/>
    </xf>
    <xf numFmtId="0" fontId="54" fillId="0" borderId="20" xfId="0" applyFont="1" applyBorder="1" applyNumberFormat="1">
      <alignment horizontal="left" vertical="center" wrapText="1"/>
    </xf>
    <xf numFmtId="49"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95" fillId="47" borderId="0" xfId="0" applyFont="1" applyFill="1" applyNumberFormat="1">
      <alignment horizontal="center" vertical="center" textRotation="90"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49" fontId="54" fillId="0" borderId="18" xfId="0" applyFont="1" applyBorder="1" applyNumberFormat="1">
      <alignment horizontal="center" vertical="center" wrapText="1"/>
    </xf>
    <xf numFmtId="49" fontId="54" fillId="0" borderId="37" xfId="0" applyFont="1" applyBorder="1" applyNumberFormat="1">
      <alignment horizontal="center" vertical="center" wrapText="1"/>
    </xf>
    <xf numFmtId="49" fontId="54" fillId="0" borderId="24" xfId="0" applyFont="1" applyBorder="1" applyNumberFormat="1">
      <alignment horizontal="center" vertical="center" wrapText="1"/>
    </xf>
    <xf numFmtId="0" fontId="0" fillId="38" borderId="13" xfId="0" applyFont="1" applyFill="1" applyBorder="1" applyNumberFormat="1">
      <alignment horizontal="left" vertical="center" wrapText="1" indent="1"/>
    </xf>
    <xf numFmtId="0" fontId="52" fillId="0" borderId="0" xfId="0" applyFont="1" applyNumberFormat="1">
      <alignment horizontal="left" vertical="top" wrapText="1"/>
    </xf>
    <xf numFmtId="0" fontId="23" fillId="0" borderId="24" xfId="0" applyFont="1" applyBorder="1" applyNumberFormat="1">
      <alignment horizontal="left" vertical="center" wrapText="1"/>
    </xf>
    <xf numFmtId="0" fontId="54" fillId="0" borderId="0" xfId="0" applyFont="1" applyNumberFormat="1">
      <alignment horizontal="center" vertical="center" wrapText="1"/>
    </xf>
    <xf numFmtId="0" fontId="53" fillId="0" borderId="0" xfId="0" applyFont="1" applyNumberFormat="1">
      <alignment horizontal="center" vertical="top"/>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23" fillId="56" borderId="0" xfId="0" applyFont="1" applyFill="1" applyNumberFormat="1">
      <alignment horizontal="center" vertical="center" textRotation="90" wrapText="1"/>
    </xf>
    <xf numFmtId="0" fontId="23" fillId="0" borderId="0" xfId="0" applyFont="1" applyNumberFormat="1">
      <alignment horizontal="left" vertical="top"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49" fontId="0" fillId="0" borderId="13" xfId="0" applyFont="1" applyBorder="1" applyNumberFormat="1">
      <alignment horizontal="center" vertical="center" wrapText="1"/>
    </xf>
    <xf numFmtId="49" fontId="23" fillId="0" borderId="15" xfId="0" applyFont="1" applyBorder="1" applyNumberFormat="1">
      <alignment horizontal="center" vertical="center" wrapText="1"/>
    </xf>
    <xf numFmtId="49" fontId="54"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0" borderId="13" xfId="0" applyFont="1" applyBorder="1" applyNumberFormat="1">
      <alignment horizontal="center" vertical="center" wrapText="1"/>
    </xf>
    <xf numFmtId="0" fontId="23" fillId="0" borderId="0" xfId="0" applyFont="1" applyNumberFormat="1">
      <alignment horizontal="lef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5" xfId="0" applyFont="1" applyBorder="1" applyNumberFormat="1">
      <alignment horizontal="center" vertical="center"/>
    </xf>
    <xf numFmtId="0" fontId="23" fillId="0" borderId="75" xfId="0" applyFont="1" applyBorder="1" applyNumberFormat="1">
      <alignment horizontal="center" vertical="center"/>
    </xf>
    <xf numFmtId="0" fontId="23" fillId="0" borderId="44" xfId="0" applyFont="1" applyBorder="1" applyNumberFormat="1">
      <alignment horizontal="center" vertical="center"/>
    </xf>
    <xf numFmtId="49" fontId="0" fillId="0" borderId="13" xfId="0" applyFont="1" applyBorder="1" applyNumberFormat="1">
      <alignment vertical="center" wrapText="1"/>
    </xf>
    <xf numFmtId="49" fontId="0" fillId="0" borderId="13" xfId="0" applyFont="1" applyBorder="1" applyNumberFormat="1">
      <alignment horizontal="left" vertical="center" wrapText="1"/>
    </xf>
    <xf numFmtId="49" fontId="0" fillId="0" borderId="18"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13" xfId="0" applyFont="1" applyBorder="1" applyNumberFormat="1">
      <alignment horizontal="center" vertical="center"/>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8"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1" xfId="0" applyFont="1" applyBorder="1" applyNumberFormat="1">
      <alignment horizontal="left" vertical="top"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13" xfId="0" applyFont="1" applyFill="1" applyBorder="1" applyNumberFormat="1">
      <alignment horizontal="center" vertical="center"/>
    </xf>
    <xf numFmtId="0" fontId="0"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6" xfId="0" applyFont="1" applyBorder="1" applyNumberFormat="1">
      <alignment horizontal="left" vertical="top" wrapText="1" indent="1"/>
    </xf>
    <xf numFmtId="0" fontId="46" fillId="37" borderId="0" xfId="0" applyFont="1" applyFill="1" applyNumberFormat="1">
      <alignment horizontal="center" vertical="top" wrapText="1"/>
    </xf>
    <xf numFmtId="49" fontId="43" fillId="37" borderId="20"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0" fillId="38" borderId="15" xfId="0" applyFont="1" applyFill="1" applyBorder="1" applyNumberFormat="1">
      <alignment horizontal="left" vertical="center" wrapText="1" indent="1"/>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0" fillId="37" borderId="18" xfId="0" applyFont="1" applyFill="1" applyBorder="1" applyNumberFormat="1">
      <alignment horizontal="left" vertical="top" wrapText="1"/>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4"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4" fontId="23" fillId="0" borderId="37" xfId="0" applyFont="1" applyBorder="1" applyNumberFormat="1">
      <alignment horizontal="center" vertical="center" wrapText="1"/>
    </xf>
    <xf numFmtId="0" fontId="23" fillId="0" borderId="30" xfId="0" applyFont="1" applyBorder="1" applyNumberFormat="1">
      <alignment horizontal="left" vertical="top" wrapText="1"/>
    </xf>
    <xf numFmtId="165" fontId="23" fillId="0" borderId="18" xfId="0" applyFont="1" applyBorder="1" applyNumberFormat="1">
      <alignment horizontal="center" vertical="center" wrapText="1"/>
    </xf>
    <xf numFmtId="165" fontId="23" fillId="0" borderId="24" xfId="0" applyFont="1" applyBorder="1" applyNumberFormat="1">
      <alignment horizontal="center" vertical="center" wrapText="1"/>
    </xf>
    <xf numFmtId="165" fontId="23" fillId="0" borderId="15"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4" xfId="0" applyFont="1" applyBorder="1" applyNumberFormat="1">
      <alignment horizontal="center" vertical="center" wrapText="1"/>
    </xf>
    <xf numFmtId="49" fontId="23" fillId="0" borderId="13" xfId="0" applyFont="1" applyBorder="1" applyNumberFormat="1">
      <alignment horizontal="left" vertical="top" wrapText="1"/>
    </xf>
    <xf numFmtId="49" fontId="128" fillId="0" borderId="13" xfId="0" applyFont="1" applyBorder="1" applyNumberFormat="1">
      <alignment horizontal="left" vertical="top" wrapText="1"/>
    </xf>
    <xf numFmtId="0" fontId="23" fillId="0" borderId="16" xfId="0" applyFont="1" applyBorder="1" applyNumberFormat="1">
      <alignment horizontal="left" vertical="center" wrapText="1"/>
    </xf>
    <xf numFmtId="165" fontId="23" fillId="0" borderId="37" xfId="0" applyFont="1" applyBorder="1" applyNumberFormat="1">
      <alignment horizontal="center" vertical="center" wrapText="1"/>
    </xf>
    <xf numFmtId="165" fontId="23" fillId="0" borderId="13" xfId="0" applyFont="1" applyBorder="1" applyNumberFormat="1">
      <alignment horizontal="center" vertical="center" wrapText="1"/>
    </xf>
    <xf numFmtId="165" fontId="52" fillId="0" borderId="20" xfId="0" applyFont="1" applyBorder="1" applyNumberFormat="1">
      <alignment horizontal="center" vertical="center" wrapText="1"/>
    </xf>
    <xf numFmtId="49" fontId="23" fillId="42" borderId="31" xfId="0" applyFont="1" applyFill="1" applyBorder="1" applyNumberFormat="1">
      <alignment horizontal="left" vertical="center" wrapText="1"/>
    </xf>
    <xf numFmtId="49" fontId="23" fillId="42" borderId="24" xfId="0" applyFont="1" applyFill="1" applyBorder="1" applyNumberFormat="1">
      <alignment horizontal="left" vertical="center" wrapText="1"/>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0" borderId="0" xfId="0" applyFont="1" applyNumberFormat="1">
      <alignment horizontal="left" vertical="top" wrapText="1"/>
    </xf>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49" fontId="23" fillId="0" borderId="0" xfId="0" applyFont="1" applyNumberFormat="1">
      <alignment horizontal="left" vertical="top" wrapText="1"/>
    </xf>
    <xf numFmtId="49" fontId="0" fillId="0" borderId="16" xfId="0" applyFont="1" applyBorder="1" applyNumberFormat="1">
      <alignment horizontal="left" vertical="center" inden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49" fontId="23" fillId="42" borderId="24" xfId="0" applyFont="1" applyFill="1" applyBorder="1" applyNumberFormat="1">
      <alignment horizontal="center" vertical="top" wrapText="1"/>
    </xf>
    <xf numFmtId="167" fontId="0" fillId="41" borderId="13" xfId="0" applyFont="1" applyFill="1" applyBorder="1" applyNumberFormat="1">
      <alignment horizontal="center" vertical="top" wrapText="1"/>
      <protection locked="0"/>
    </xf>
    <xf numFmtId="49" fontId="0" fillId="41" borderId="13" xfId="0" applyFont="1" applyFill="1" applyBorder="1" applyNumberFormat="1">
      <alignment horizontal="center" vertical="top" wrapText="1"/>
      <protection locked="0"/>
    </xf>
    <xf numFmtId="167" fontId="0" fillId="33"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2" borderId="18" xfId="0" applyFont="1" applyFill="1" applyBorder="1" applyNumberFormat="1">
      <alignment horizontal="left" vertical="center" wrapText="1" indent="1"/>
    </xf>
    <xf numFmtId="49" fontId="23" fillId="42" borderId="37"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27" fillId="0" borderId="13" xfId="0" applyFont="1" applyBorder="1" applyNumberFormat="1">
      <alignment horizontal="center" vertical="center" wrapText="1"/>
    </xf>
    <xf numFmtId="0" fontId="52" fillId="0" borderId="13" xfId="0" applyFont="1" applyBorder="1" applyNumberFormat="1">
      <alignment horizontal="center" vertical="center"/>
    </xf>
    <xf numFmtId="49" fontId="23" fillId="38" borderId="13" xfId="0" applyFont="1" applyFill="1" applyBorder="1" applyNumberFormat="1">
      <alignment horizontal="left" vertical="center" wrapText="1"/>
    </xf>
    <xf numFmtId="0" fontId="0" fillId="0" borderId="13" xfId="0" applyFont="1" applyBorder="1" applyNumberFormat="1">
      <alignment horizontal="center" vertical="center"/>
    </xf>
    <xf numFmtId="49" fontId="0" fillId="0" borderId="13" xfId="0" applyFont="1" applyBorder="1" applyNumberFormat="1">
      <alignment vertical="top"/>
    </xf>
    <xf numFmtId="49" fontId="23" fillId="41" borderId="13" xfId="0" applyFont="1" applyFill="1" applyBorder="1" applyNumberFormat="1">
      <alignment horizontal="left" vertical="top" wrapText="1"/>
      <protection locked="0"/>
    </xf>
    <xf numFmtId="49" fontId="23" fillId="0" borderId="14" xfId="0" applyFont="1" applyBorder="1" applyNumberFormat="1">
      <alignment horizontal="center" vertical="center" wrapText="1"/>
    </xf>
    <xf numFmtId="0" fontId="23" fillId="33" borderId="13" xfId="0" applyFont="1" applyFill="1" applyBorder="1" applyNumberFormat="1">
      <alignment horizontal="left" vertical="top" wrapText="1"/>
      <protection locked="0"/>
    </xf>
    <xf numFmtId="49" fontId="0" fillId="41" borderId="13" xfId="0" applyFont="1" applyFill="1" applyBorder="1" applyNumberFormat="1">
      <alignment horizontal="left" vertical="center" wrapText="1"/>
      <protection locked="0"/>
    </xf>
    <xf numFmtId="0" fontId="23" fillId="42" borderId="13" xfId="0" applyFont="1" applyFill="1" applyBorder="1" applyNumberFormat="1">
      <alignment horizontal="left" vertical="top" wrapText="1"/>
    </xf>
    <xf numFmtId="49" fontId="0" fillId="42" borderId="13" xfId="0" applyFont="1" applyFill="1" applyBorder="1" applyNumberFormat="1">
      <alignment horizontal="lef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49" fontId="23" fillId="0" borderId="24" xfId="0" applyFont="1" applyBorder="1" applyNumberFormat="1">
      <alignment horizontal="center" vertical="center"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44" fillId="0" borderId="18" xfId="0" applyFont="1" applyBorder="1" applyNumberFormat="1">
      <alignment horizontal="center" vertical="top" wrapText="1"/>
    </xf>
    <xf numFmtId="49" fontId="23" fillId="0" borderId="37" xfId="0" applyFont="1" applyBorder="1" applyNumberFormat="1">
      <alignment horizontal="center" vertical="top" wrapText="1"/>
    </xf>
    <xf numFmtId="49" fontId="23" fillId="0" borderId="24"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20"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3" xfId="0" applyFont="1" applyBorder="1" applyNumberFormat="1">
      <alignment horizontal="left" vertical="top"/>
    </xf>
    <xf numFmtId="0" fontId="0" fillId="42" borderId="13" xfId="0" applyFont="1" applyFill="1" applyBorder="1" applyNumberFormat="1">
      <alignment horizontal="left" vertical="center" wrapText="1"/>
      <protection locked="0"/>
    </xf>
    <xf numFmtId="49" fontId="0" fillId="42"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13" xfId="0" applyFont="1" applyFill="1" applyBorder="1" applyNumberFormat="1">
      <alignment horizontal="left" vertical="top"/>
      <protection locked="0"/>
    </xf>
    <xf numFmtId="0" fontId="0" fillId="0" borderId="20" xfId="0" applyFont="1" applyBorder="1" applyNumberFormat="1">
      <alignment horizontal="center" vertical="center"/>
    </xf>
    <xf numFmtId="0" fontId="0" fillId="0" borderId="0" xfId="0" applyFont="1" applyNumberFormat="1">
      <alignment horizontal="center" vertical="center"/>
    </xf>
    <xf numFmtId="49" fontId="0" fillId="0" borderId="20" xfId="0" applyFont="1" applyBorder="1" applyNumberFormat="1">
      <alignment horizontal="left" vertical="center" wrapText="1"/>
    </xf>
    <xf numFmtId="14" fontId="85" fillId="0" borderId="18" xfId="0" applyFont="1" applyBorder="1" applyNumberFormat="1">
      <alignment horizontal="center" vertical="center" wrapText="1"/>
    </xf>
    <xf numFmtId="14" fontId="85" fillId="0" borderId="37" xfId="0" applyFont="1" applyBorder="1" applyNumberFormat="1">
      <alignment horizontal="center" vertical="center" wrapText="1"/>
    </xf>
    <xf numFmtId="0" fontId="79" fillId="0" borderId="13" xfId="0" applyFont="1" applyBorder="1" applyNumberFormat="1">
      <alignment horizontal="left" vertical="center" wrapText="1" indent="1"/>
    </xf>
    <xf numFmtId="0" fontId="79" fillId="0" borderId="13" xfId="0" applyFont="1" applyBorder="1" applyNumberFormat="1">
      <alignment horizontal="left" vertical="top" indent="1"/>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3" xfId="0" applyFont="1" applyBorder="1" applyNumberFormat="1">
      <alignment horizontal="center" vertical="center"/>
    </xf>
    <xf numFmtId="49" fontId="0" fillId="0" borderId="0" xfId="0" applyFont="1" applyNumberFormat="1">
      <alignment horizontal="left" vertical="top"/>
    </xf>
    <xf numFmtId="49" fontId="23" fillId="42" borderId="13" xfId="0" applyFont="1" applyFill="1" applyBorder="1" applyNumberFormat="1">
      <alignment horizontal="center" vertical="top" wrapText="1"/>
    </xf>
    <xf numFmtId="49" fontId="23" fillId="42" borderId="15" xfId="0" applyFont="1" applyFill="1" applyBorder="1" applyNumberFormat="1">
      <alignment horizontal="center" vertical="top" wrapText="1"/>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49" fontId="23" fillId="42" borderId="15" xfId="0" applyFont="1" applyFill="1" applyBorder="1" applyNumberFormat="1">
      <alignment horizontal="center" vertical="center" wrapText="1"/>
    </xf>
    <xf numFmtId="49" fontId="47" fillId="39" borderId="52" xfId="0" applyFont="1" applyFill="1" applyBorder="1" applyNumberFormat="1">
      <alignment horizontal="left" vertical="center" indent="1"/>
    </xf>
    <xf numFmtId="49" fontId="23" fillId="38" borderId="13" xfId="0" applyFont="1" applyFill="1" applyBorder="1" applyNumberFormat="1">
      <alignment horizontal="center" vertical="center" wrapText="1"/>
    </xf>
    <xf numFmtId="49" fontId="23" fillId="38" borderId="76" xfId="0" applyFont="1" applyFill="1" applyBorder="1" applyNumberFormat="1">
      <alignment horizontal="center" vertical="center" wrapText="1"/>
    </xf>
    <xf numFmtId="3" fontId="23" fillId="41" borderId="13" xfId="0" applyFont="1" applyFill="1" applyBorder="1" applyNumberFormat="1">
      <alignment horizontal="center" vertical="center" wrapText="1"/>
      <protection locked="0"/>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127" fillId="0" borderId="14" xfId="0" applyFont="1" applyBorder="1" applyNumberFormat="1">
      <alignment horizontal="center" vertical="center" wrapText="1"/>
    </xf>
    <xf numFmtId="0" fontId="23" fillId="42" borderId="18" xfId="0" applyFont="1" applyFill="1" applyBorder="1" applyNumberFormat="1">
      <alignment horizontal="left" vertical="center" wrapText="1"/>
    </xf>
    <xf numFmtId="0" fontId="23" fillId="42" borderId="37" xfId="0" applyFont="1" applyFill="1" applyBorder="1" applyNumberFormat="1">
      <alignment horizontal="left" vertical="center" wrapText="1"/>
    </xf>
    <xf numFmtId="49" fontId="23" fillId="42" borderId="18" xfId="0" applyFont="1" applyFill="1" applyBorder="1" applyNumberFormat="1">
      <alignment horizontal="left" vertical="center" wrapText="1"/>
    </xf>
    <xf numFmtId="49" fontId="23" fillId="0" borderId="37" xfId="0" applyFont="1" applyBorder="1" applyNumberFormat="1">
      <alignment horizontal="center" vertical="center"/>
    </xf>
    <xf numFmtId="0" fontId="23" fillId="0" borderId="25" xfId="0" applyFont="1" applyBorder="1" applyNumberFormat="1">
      <alignment horizontal="center" vertical="center"/>
    </xf>
    <xf numFmtId="49" fontId="23" fillId="33" borderId="18" xfId="0" applyFont="1" applyFill="1" applyBorder="1" applyNumberFormat="1">
      <alignment horizontal="left" vertical="center" wrapText="1"/>
      <protection locked="0"/>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99" fillId="0" borderId="13" xfId="0" applyFont="1" applyBorder="1" applyNumberFormat="1">
      <alignment horizontal="center" vertical="top" wrapText="1"/>
    </xf>
    <xf numFmtId="0" fontId="99" fillId="34" borderId="13" xfId="0" applyFont="1" applyFill="1" applyBorder="1" applyNumberFormat="1">
      <alignment horizontal="center" vertical="center" wrapText="1"/>
    </xf>
    <xf numFmtId="49" fontId="99" fillId="0" borderId="38"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24" xfId="0" applyFont="1" applyBorder="1" applyNumberFormat="1">
      <alignment horizontal="center" vertical="top" wrapText="1"/>
    </xf>
    <xf numFmtId="4" fontId="23" fillId="38" borderId="13" xfId="0" applyFont="1" applyFill="1" applyBorder="1" applyNumberFormat="1">
      <alignment horizontal="left" vertical="center" wrapText="1"/>
    </xf>
    <xf numFmtId="0" fontId="53"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0" borderId="0" xfId="0" applyFont="1" applyNumberFormat="1">
      <alignment horizontal="right" vertical="center"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167" fontId="0" fillId="41" borderId="13" xfId="0" applyFont="1" applyFill="1" applyBorder="1" applyNumberFormat="1">
      <alignment horizontal="center" vertical="center" wrapText="1"/>
      <protection locked="0"/>
    </xf>
    <xf numFmtId="49" fontId="0" fillId="0" borderId="13" xfId="0" applyFont="1" applyBorder="1" applyNumberFormat="1">
      <alignment horizontal="center" vertical="top"/>
    </xf>
    <xf numFmtId="49" fontId="0" fillId="0" borderId="15" xfId="0" applyFont="1" applyBorder="1" applyNumberFormat="1">
      <alignment horizontal="center"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2"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2"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1" borderId="62"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3" xfId="0" applyFont="1" applyBorder="1" applyNumberFormat="1">
      <alignment horizontal="left" vertical="center" wrapText="1"/>
    </xf>
    <xf numFmtId="0" fontId="22" fillId="47" borderId="62" xfId="0" applyFont="1" applyFill="1" applyBorder="1" applyNumberFormat="1">
      <alignment horizontal="right" vertical="center" wrapText="1" indent="1"/>
    </xf>
    <xf numFmtId="0" fontId="22" fillId="47" borderId="65"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4"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4"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67"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67"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67"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4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5" fontId="23" fillId="0" borderId="15" xfId="0" applyFont="1" applyBorder="1" applyNumberFormat="1">
      <alignment horizontal="center" vertical="center" wrapText="1"/>
    </xf>
    <xf numFmtId="165"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4" fontId="23" fillId="33" borderId="13" xfId="0" applyFont="1" applyFill="1" applyBorder="1" applyNumberFormat="1">
      <alignment horizontal="right" vertical="center" wrapText="1"/>
      <protection locked="0"/>
    </xf>
    <xf numFmtId="167"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4" fontId="53" fillId="0" borderId="13" xfId="0" applyFont="1" applyBorder="1" applyNumberFormat="1">
      <alignment horizontal="right" vertical="center" wrapText="1"/>
    </xf>
    <xf numFmtId="167"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67"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67"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64"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4"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67"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4"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4"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4" fontId="54" fillId="0" borderId="13" xfId="0" applyFont="1" applyBorder="1" applyNumberFormat="1">
      <alignment horizontal="right" vertical="center" wrapText="1"/>
    </xf>
    <xf numFmtId="167"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67"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6"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6" fontId="23" fillId="41" borderId="13" xfId="0" applyFont="1" applyFill="1" applyBorder="1" applyNumberFormat="1">
      <alignment horizontal="right" vertical="center" wrapText="1"/>
      <protection locked="0"/>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6"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166" fontId="23" fillId="38" borderId="14" xfId="0" applyFont="1" applyFill="1" applyBorder="1" applyNumberFormat="1">
      <alignment horizontal="right" vertical="center" wrapText="1"/>
    </xf>
    <xf numFmtId="166"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6"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58" fillId="0" borderId="0" xfId="0" applyFont="1" applyNumberFormat="1">
      <alignment vertical="center"/>
    </xf>
    <xf numFmtId="0" fontId="95"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67"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5"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23" fillId="0" borderId="75"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67"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67" fontId="0" fillId="41" borderId="14" xfId="0" applyFont="1" applyFill="1" applyBorder="1" applyNumberFormat="1">
      <alignment horizontal="left" vertical="center" wrapText="1"/>
      <protection locked="0"/>
    </xf>
    <xf numFmtId="167"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0" fontId="23" fillId="0" borderId="0" xfId="0" applyFont="1" applyNumberFormat="1">
      <alignment vertical="center" wrapText="1"/>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5" fontId="23" fillId="0" borderId="38" xfId="0" applyFont="1" applyBorder="1" applyNumberFormat="1">
      <alignment horizontal="center" vertical="center" wrapText="1"/>
    </xf>
    <xf numFmtId="165"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67"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67" fontId="54" fillId="0" borderId="0" xfId="0" applyFont="1" applyNumberFormat="1">
      <alignment horizontal="center" vertical="center" wrapText="1"/>
    </xf>
    <xf numFmtId="165" fontId="23" fillId="0" borderId="18" xfId="0" applyFont="1" applyBorder="1" applyNumberFormat="1">
      <alignment horizontal="center" vertical="center" wrapText="1"/>
    </xf>
    <xf numFmtId="165" fontId="23" fillId="0" borderId="15"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5" fontId="23" fillId="0" borderId="24" xfId="0" applyFont="1" applyBorder="1" applyNumberFormat="1">
      <alignment horizontal="center" vertical="center" wrapText="1"/>
    </xf>
    <xf numFmtId="165"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5"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5" fontId="52" fillId="0" borderId="20" xfId="0" applyFont="1" applyBorder="1" applyNumberFormat="1">
      <alignment horizontal="center" vertical="center" wrapText="1"/>
    </xf>
    <xf numFmtId="165" fontId="52" fillId="0" borderId="20" xfId="0" applyFont="1" applyBorder="1" applyNumberFormat="1">
      <alignment horizontal="center" vertical="center" wrapText="1"/>
    </xf>
    <xf numFmtId="165" fontId="52" fillId="0" borderId="21" xfId="0" applyFont="1" applyBorder="1" applyNumberFormat="1">
      <alignment horizontal="center" vertical="center" wrapText="1"/>
    </xf>
    <xf numFmtId="0" fontId="54" fillId="0" borderId="0" xfId="0" applyFont="1" applyNumberFormat="1">
      <alignment horizontal="center" vertical="center"/>
    </xf>
    <xf numFmtId="165" fontId="23" fillId="0" borderId="13" xfId="0" applyFont="1" applyBorder="1" applyNumberFormat="1">
      <alignment horizontal="center" vertical="center" wrapText="1"/>
    </xf>
    <xf numFmtId="165" fontId="23" fillId="0" borderId="37" xfId="0" applyFont="1" applyBorder="1" applyNumberFormat="1">
      <alignment horizontal="center" vertical="center" wrapText="1"/>
    </xf>
    <xf numFmtId="165"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44" fillId="0" borderId="0" xfId="0" applyFont="1" applyNumberFormat="1">
      <alignment horizontal="center" vertical="center" wrapText="1"/>
    </xf>
    <xf numFmtId="167"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67" fontId="0" fillId="41" borderId="13" xfId="0" applyFont="1" applyFill="1" applyBorder="1" applyNumberFormat="1">
      <alignment horizontal="center" vertical="top" wrapText="1"/>
      <protection locked="0"/>
    </xf>
    <xf numFmtId="167"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0" fontId="23" fillId="39"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8"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67"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2"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2"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1" borderId="62"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3" xfId="0" applyFont="1" applyBorder="1" applyNumberFormat="1">
      <alignment horizontal="left" vertical="center" wrapText="1"/>
    </xf>
    <xf numFmtId="0" fontId="22" fillId="47" borderId="62" xfId="0" applyFont="1" applyFill="1" applyBorder="1" applyNumberFormat="1">
      <alignment horizontal="right" vertical="center" wrapText="1" indent="1"/>
    </xf>
    <xf numFmtId="0" fontId="22" fillId="47" borderId="65"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4"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4"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67"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167" fontId="0" fillId="41" borderId="13" xfId="0" applyFont="1" applyFill="1" applyBorder="1" applyNumberFormat="1">
      <alignment horizontal="left" vertical="center" wrapText="1" indent="1"/>
      <protection locked="0"/>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67"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67"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5" fontId="23" fillId="0" borderId="15" xfId="0" applyFont="1" applyBorder="1" applyNumberFormat="1">
      <alignment horizontal="center" vertical="center" wrapText="1"/>
    </xf>
    <xf numFmtId="165"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42" borderId="13" xfId="0" applyFont="1" applyFill="1" applyBorder="1" applyNumberFormat="1">
      <alignment horizontal="left" vertical="top" wrapText="1"/>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49" fontId="23" fillId="42" borderId="24" xfId="0" applyFont="1" applyFill="1" applyBorder="1" applyNumberFormat="1">
      <alignment horizontal="center" vertical="center" wrapText="1"/>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47" fillId="39" borderId="30" xfId="0" applyFont="1" applyFill="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47" fillId="39" borderId="14" xfId="0" applyFont="1" applyFill="1" applyBorder="1" applyNumberFormat="1">
      <alignment horizontal="left" vertical="center"/>
    </xf>
    <xf numFmtId="49" fontId="0" fillId="42" borderId="13" xfId="0" applyFont="1" applyFill="1" applyBorder="1" applyNumberFormat="1">
      <alignment horizontal="left" vertical="top"/>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47" fillId="39" borderId="14" xfId="0" applyFont="1" applyFill="1" applyBorder="1" applyNumberFormat="1">
      <alignment horizontal="left" vertical="center"/>
    </xf>
    <xf numFmtId="0" fontId="23" fillId="37" borderId="13" xfId="0" applyFont="1" applyFill="1" applyBorder="1" applyNumberFormat="1">
      <alignment horizontal="left"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0" fillId="37" borderId="13"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4" fontId="23" fillId="33" borderId="13" xfId="0" applyFont="1" applyFill="1" applyBorder="1" applyNumberFormat="1">
      <alignment horizontal="right" vertical="center" wrapText="1"/>
      <protection locked="0"/>
    </xf>
    <xf numFmtId="167"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4" fontId="53" fillId="0" borderId="13" xfId="0" applyFont="1" applyBorder="1" applyNumberFormat="1">
      <alignment horizontal="right" vertical="center" wrapText="1"/>
    </xf>
    <xf numFmtId="167"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67"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67"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4"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4"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67"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4"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4"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4" fontId="54" fillId="0" borderId="13" xfId="0" applyFont="1" applyBorder="1" applyNumberFormat="1">
      <alignment horizontal="right" vertical="center" wrapText="1"/>
    </xf>
    <xf numFmtId="167"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67"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center" wrapText="1"/>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4" fontId="23" fillId="33" borderId="13" xfId="0" applyFont="1" applyFill="1" applyBorder="1" applyNumberFormat="1">
      <alignment horizontal="right" vertical="center" wrapText="1"/>
      <protection locked="0"/>
    </xf>
    <xf numFmtId="167"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4" fontId="23" fillId="0" borderId="13" xfId="0" applyFont="1" applyBorder="1" applyNumberFormat="1">
      <alignment horizontal="right" vertical="center" wrapText="1"/>
    </xf>
    <xf numFmtId="49" fontId="0" fillId="41" borderId="13" xfId="0" applyFont="1" applyFill="1" applyBorder="1" applyNumberFormat="1">
      <alignment horizontal="center" vertical="center" wrapText="1"/>
      <protection locked="0"/>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54" fillId="0" borderId="0" xfId="0" applyFont="1" applyNumberFormat="1">
      <alignment horizontal="center" vertical="center" wrapText="1"/>
    </xf>
    <xf numFmtId="0" fontId="53" fillId="0" borderId="0" xfId="0" applyFont="1" applyNumberFormat="1">
      <alignment vertical="center" wrapText="1"/>
    </xf>
    <xf numFmtId="49" fontId="53" fillId="0" borderId="13" xfId="0" applyFont="1" applyBorder="1" applyNumberFormat="1">
      <alignment vertical="center" wrapText="1"/>
    </xf>
    <xf numFmtId="0" fontId="53" fillId="0" borderId="0" xfId="0" applyFont="1" applyNumberFormat="1">
      <alignment vertical="center"/>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23" fillId="38" borderId="13" xfId="0" applyFont="1" applyFill="1" applyBorder="1" applyNumberFormat="1">
      <alignment horizontal="left" vertical="center" wrapText="1" indent="1"/>
    </xf>
    <xf numFmtId="167" fontId="23" fillId="38" borderId="13" xfId="0" applyFont="1" applyFill="1" applyBorder="1" applyNumberFormat="1">
      <alignment horizontal="left" vertical="center" wrapText="1" indent="1"/>
    </xf>
    <xf numFmtId="0" fontId="54" fillId="0" borderId="0" xfId="0" applyFont="1" applyNumberFormat="1">
      <alignment vertical="center" wrapText="1"/>
    </xf>
    <xf numFmtId="0" fontId="44" fillId="0" borderId="28" xfId="0" applyFont="1" applyBorder="1" applyNumberFormat="1">
      <alignment horizontal="center" vertical="center" wrapText="1"/>
    </xf>
    <xf numFmtId="0" fontId="23" fillId="0" borderId="13" xfId="0" applyFont="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20"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37" borderId="37" xfId="0" applyFont="1" applyFill="1" applyBorder="1" applyNumberFormat="1">
      <alignment horizontal="center" vertical="center" wrapText="1"/>
    </xf>
    <xf numFmtId="0" fontId="53" fillId="0" borderId="0" xfId="0" applyFont="1" applyNumberFormat="1">
      <alignment horizontal="center" vertical="center" wrapText="1"/>
    </xf>
    <xf numFmtId="0" fontId="23" fillId="0" borderId="3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0" xfId="0" applyFont="1" applyFill="1" applyNumberFormat="1">
      <alignment horizontal="center" vertical="center" wrapText="1"/>
    </xf>
    <xf numFmtId="167"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6"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6"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6"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6" fontId="23" fillId="38" borderId="14" xfId="0" applyFont="1" applyFill="1" applyBorder="1" applyNumberFormat="1">
      <alignment horizontal="right" vertical="center" wrapText="1"/>
    </xf>
    <xf numFmtId="166"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6"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67"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5"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0" fontId="23" fillId="37" borderId="0" xfId="0" applyFont="1" applyFill="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23" fillId="0" borderId="75"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67"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67" fontId="0" fillId="41" borderId="14" xfId="0" applyFont="1" applyFill="1" applyBorder="1" applyNumberFormat="1">
      <alignment horizontal="left" vertical="center" wrapText="1"/>
      <protection locked="0"/>
    </xf>
    <xf numFmtId="167"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167" fontId="0" fillId="41" borderId="14" xfId="0" applyFont="1" applyFill="1" applyBorder="1" applyNumberFormat="1">
      <alignment horizontal="left" vertical="center" wrapText="1"/>
      <protection locked="0"/>
    </xf>
    <xf numFmtId="167" fontId="0" fillId="41" borderId="15" xfId="0" applyFont="1" applyFill="1" applyBorder="1" applyNumberFormat="1">
      <alignment horizontal="left" vertical="center" wrapText="1"/>
      <protection locked="0"/>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5" fontId="23" fillId="0" borderId="38" xfId="0" applyFont="1" applyBorder="1" applyNumberFormat="1">
      <alignment horizontal="center" vertical="center" wrapText="1"/>
    </xf>
    <xf numFmtId="165"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67"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67" fontId="54" fillId="0" borderId="0" xfId="0" applyFont="1" applyNumberFormat="1">
      <alignment horizontal="center" vertical="center" wrapText="1"/>
    </xf>
    <xf numFmtId="165" fontId="23" fillId="0" borderId="18" xfId="0" applyFont="1" applyBorder="1" applyNumberFormat="1">
      <alignment horizontal="center" vertical="center" wrapText="1"/>
    </xf>
    <xf numFmtId="165" fontId="23" fillId="0" borderId="15"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5" fontId="23" fillId="0" borderId="24" xfId="0" applyFont="1" applyBorder="1" applyNumberFormat="1">
      <alignment horizontal="center" vertical="center" wrapText="1"/>
    </xf>
    <xf numFmtId="165"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5"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5" fontId="52" fillId="0" borderId="20" xfId="0" applyFont="1" applyBorder="1" applyNumberFormat="1">
      <alignment horizontal="center" vertical="center" wrapText="1"/>
    </xf>
    <xf numFmtId="165" fontId="52" fillId="0" borderId="20" xfId="0" applyFont="1" applyBorder="1" applyNumberFormat="1">
      <alignment horizontal="center" vertical="center" wrapText="1"/>
    </xf>
    <xf numFmtId="165" fontId="52" fillId="0" borderId="21" xfId="0" applyFont="1" applyBorder="1" applyNumberFormat="1">
      <alignment horizontal="center" vertical="center" wrapText="1"/>
    </xf>
    <xf numFmtId="0" fontId="54" fillId="0" borderId="0" xfId="0" applyFont="1" applyNumberFormat="1">
      <alignment horizontal="center" vertical="center"/>
    </xf>
    <xf numFmtId="165" fontId="23" fillId="0" borderId="13" xfId="0" applyFont="1" applyBorder="1" applyNumberFormat="1">
      <alignment horizontal="center" vertical="center" wrapText="1"/>
    </xf>
    <xf numFmtId="165" fontId="23" fillId="0" borderId="37" xfId="0" applyFont="1" applyBorder="1" applyNumberFormat="1">
      <alignment horizontal="center" vertical="center" wrapText="1"/>
    </xf>
    <xf numFmtId="165"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67"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67" fontId="0" fillId="41" borderId="13" xfId="0" applyFont="1" applyFill="1" applyBorder="1" applyNumberFormat="1">
      <alignment horizontal="center" vertical="top" wrapText="1"/>
      <protection locked="0"/>
    </xf>
    <xf numFmtId="167"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0" fontId="23" fillId="39"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8"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67"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7" borderId="0" xfId="78" applyFont="1" applyFill="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2"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2"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1" borderId="62"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3" xfId="0" applyFont="1" applyBorder="1" applyNumberFormat="1">
      <alignment horizontal="left" vertical="center" wrapText="1"/>
    </xf>
    <xf numFmtId="0" fontId="22" fillId="47" borderId="62" xfId="0" applyFont="1" applyFill="1" applyBorder="1" applyNumberFormat="1">
      <alignment horizontal="right" vertical="center" wrapText="1" indent="1"/>
    </xf>
    <xf numFmtId="0" fontId="22" fillId="47" borderId="65"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4"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4"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67"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167" fontId="0" fillId="41" borderId="13" xfId="0" applyFont="1" applyFill="1" applyBorder="1" applyNumberFormat="1">
      <alignment horizontal="left" vertical="center" wrapText="1" indent="1"/>
      <protection locked="0"/>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67" fontId="0" fillId="41" borderId="13" xfId="0" applyFont="1" applyFill="1" applyBorder="1" applyNumberFormat="1">
      <alignment horizontal="left" vertical="center" wrapText="1" indent="1"/>
      <protection locked="0"/>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67"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5" fontId="23" fillId="0" borderId="15" xfId="0" applyFont="1" applyBorder="1" applyNumberFormat="1">
      <alignment horizontal="center" vertical="center" wrapText="1"/>
    </xf>
    <xf numFmtId="165"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54" fillId="0" borderId="0" xfId="0" applyFont="1" applyNumberFormat="1">
      <alignment vertical="center"/>
    </xf>
    <xf numFmtId="0" fontId="49" fillId="0" borderId="0" xfId="0" applyFont="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4" fillId="0" borderId="0" xfId="0" applyFont="1" applyNumberFormat="1">
      <alignmen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42" borderId="13" xfId="0" applyFont="1" applyFill="1" applyBorder="1" applyNumberFormat="1">
      <alignment horizontal="left" vertical="top" wrapText="1"/>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49" fontId="23" fillId="42" borderId="24" xfId="0" applyFont="1" applyFill="1" applyBorder="1" applyNumberFormat="1">
      <alignment horizontal="center" vertical="center" wrapText="1"/>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47" fillId="39" borderId="30"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44" fillId="0" borderId="0" xfId="0" applyFont="1" applyNumberFormat="1">
      <alignment horizontal="center" vertical="center" wrapText="1"/>
    </xf>
    <xf numFmtId="49" fontId="0" fillId="0" borderId="37" xfId="0" applyFont="1" applyBorder="1" applyNumberFormat="1">
      <alignment vertical="top"/>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vertical="top"/>
      <protection locked="0"/>
    </xf>
    <xf numFmtId="0" fontId="0" fillId="42"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23"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3" fillId="42" borderId="37" xfId="0" applyFont="1" applyFill="1" applyBorder="1" applyNumberFormat="1">
      <alignment horizontal="center"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49" fontId="0" fillId="0" borderId="13" xfId="0" applyFont="1" applyBorder="1" applyNumberFormat="1">
      <alignment vertical="top"/>
    </xf>
    <xf numFmtId="49" fontId="0" fillId="42" borderId="13" xfId="0" applyFont="1" applyFill="1" applyBorder="1" applyNumberFormat="1">
      <alignment horizontal="left" vertical="center" wrapText="1"/>
      <protection locked="0"/>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47" fillId="39" borderId="30" xfId="0" applyFont="1" applyFill="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47" fillId="39" borderId="14" xfId="0" applyFont="1" applyFill="1" applyBorder="1" applyNumberFormat="1">
      <alignment horizontal="left" vertical="center"/>
    </xf>
    <xf numFmtId="49" fontId="0" fillId="42" borderId="13" xfId="0" applyFont="1" applyFill="1" applyBorder="1" applyNumberFormat="1">
      <alignment horizontal="left" vertical="top"/>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47" fillId="39" borderId="14" xfId="0" applyFont="1" applyFill="1" applyBorder="1" applyNumberFormat="1">
      <alignment horizontal="left" vertical="center"/>
    </xf>
    <xf numFmtId="0" fontId="23" fillId="37" borderId="13" xfId="0" applyFont="1" applyFill="1" applyBorder="1" applyNumberFormat="1">
      <alignment horizontal="left"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0" fillId="37" borderId="13"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167" fontId="0" fillId="0" borderId="13" xfId="0" applyFont="1" applyBorder="1" applyNumberFormat="1">
      <alignment horizontal="left" vertical="center" wrapText="1" inden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4" fontId="23" fillId="33" borderId="13" xfId="0" applyFont="1" applyFill="1" applyBorder="1" applyNumberFormat="1">
      <alignment horizontal="right" vertical="center" wrapText="1"/>
      <protection locked="0"/>
    </xf>
    <xf numFmtId="167"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4" fontId="53" fillId="0" borderId="13" xfId="0" applyFont="1" applyBorder="1" applyNumberFormat="1">
      <alignment horizontal="right" vertical="center" wrapText="1"/>
    </xf>
    <xf numFmtId="167"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67"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67"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4"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4"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67"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4"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4"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4" fontId="54" fillId="0" borderId="13" xfId="0" applyFont="1" applyBorder="1" applyNumberFormat="1">
      <alignment horizontal="right" vertical="center" wrapText="1"/>
    </xf>
    <xf numFmtId="167"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67"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center" wrapText="1"/>
    </xf>
    <xf numFmtId="0" fontId="23" fillId="0" borderId="0" xfId="0" applyFont="1" applyNumberFormat="1">
      <alignment vertical="center" wrapText="1"/>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4" fontId="23" fillId="33" borderId="13" xfId="0" applyFont="1" applyFill="1" applyBorder="1" applyNumberFormat="1">
      <alignment horizontal="right" vertical="center" wrapText="1"/>
      <protection locked="0"/>
    </xf>
    <xf numFmtId="167"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4" fontId="23" fillId="33" borderId="13" xfId="0" applyFont="1" applyFill="1" applyBorder="1" applyNumberFormat="1">
      <alignment horizontal="right" vertical="center" wrapText="1"/>
      <protection locked="0"/>
    </xf>
    <xf numFmtId="167"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4" fontId="23" fillId="0" borderId="13" xfId="0" applyFont="1" applyBorder="1" applyNumberFormat="1">
      <alignment horizontal="right" vertical="center" wrapText="1"/>
    </xf>
    <xf numFmtId="49" fontId="0" fillId="41" borderId="13" xfId="0" applyFont="1" applyFill="1" applyBorder="1" applyNumberFormat="1">
      <alignment horizontal="center" vertical="center" wrapText="1"/>
      <protection locked="0"/>
    </xf>
    <xf numFmtId="4" fontId="23" fillId="0" borderId="13" xfId="0" applyFont="1" applyBorder="1" applyNumberFormat="1">
      <alignment horizontal="right" vertical="center" wrapText="1"/>
    </xf>
    <xf numFmtId="49" fontId="0" fillId="41" borderId="13" xfId="0" applyFont="1" applyFill="1" applyBorder="1" applyNumberFormat="1">
      <alignment horizontal="center" vertical="center" wrapText="1"/>
      <protection locked="0"/>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3" fillId="0" borderId="0" xfId="0" applyFont="1" applyNumberFormat="1">
      <alignment vertical="center" wrapText="1"/>
    </xf>
    <xf numFmtId="49" fontId="53" fillId="0" borderId="13" xfId="0" applyFont="1" applyBorder="1" applyNumberFormat="1">
      <alignment vertical="center" wrapText="1"/>
    </xf>
    <xf numFmtId="0" fontId="53" fillId="0" borderId="0" xfId="0" applyFont="1" applyNumberFormat="1">
      <alignment vertical="center" wrapText="1"/>
    </xf>
    <xf numFmtId="49" fontId="53" fillId="0" borderId="13" xfId="0" applyFont="1" applyBorder="1" applyNumberFormat="1">
      <alignment vertical="center" wrapText="1"/>
    </xf>
    <xf numFmtId="0" fontId="53" fillId="0" borderId="0" xfId="0" applyFont="1" applyNumberFormat="1">
      <alignment vertical="center"/>
    </xf>
    <xf numFmtId="0" fontId="53" fillId="0" borderId="0" xfId="0" applyFont="1" applyNumberFormat="1">
      <alignment vertical="center"/>
    </xf>
    <xf numFmtId="0" fontId="23" fillId="0" borderId="20" xfId="0" applyFont="1" applyBorder="1" applyNumberFormat="1">
      <alignment horizontal="left" vertical="top" wrapText="1" inden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36" fillId="37" borderId="0" xfId="0" applyFont="1" applyFill="1" applyNumberFormat="1">
      <alignment horizontal="center" vertical="center" wrapText="1"/>
    </xf>
    <xf numFmtId="0" fontId="23" fillId="38" borderId="13" xfId="0" applyFont="1" applyFill="1" applyBorder="1" applyNumberFormat="1">
      <alignment horizontal="left" vertical="center" wrapText="1" indent="1"/>
    </xf>
    <xf numFmtId="0" fontId="23" fillId="38" borderId="13" xfId="0" applyFont="1" applyFill="1" applyBorder="1" applyNumberFormat="1">
      <alignment horizontal="left" vertical="center" wrapText="1" indent="1"/>
    </xf>
    <xf numFmtId="167" fontId="23" fillId="38" borderId="13" xfId="0" applyFont="1" applyFill="1" applyBorder="1" applyNumberFormat="1">
      <alignment horizontal="left" vertical="center" wrapText="1" indent="1"/>
    </xf>
    <xf numFmtId="167" fontId="23" fillId="38" borderId="13" xfId="0" applyFont="1" applyFill="1" applyBorder="1" applyNumberFormat="1">
      <alignment horizontal="left" vertical="center" wrapText="1" indent="1"/>
    </xf>
    <xf numFmtId="0" fontId="54" fillId="0" borderId="0" xfId="0" applyFont="1" applyNumberFormat="1">
      <alignment vertical="center" wrapText="1"/>
    </xf>
    <xf numFmtId="0" fontId="54" fillId="0" borderId="0" xfId="0" applyFont="1" applyNumberFormat="1">
      <alignment vertical="center" wrapText="1"/>
    </xf>
    <xf numFmtId="0" fontId="44" fillId="0" borderId="28" xfId="0" applyFont="1" applyBorder="1" applyNumberFormat="1">
      <alignment horizontal="center" vertical="center" wrapText="1"/>
    </xf>
    <xf numFmtId="0" fontId="44" fillId="0" borderId="28"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20"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20"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37" borderId="37" xfId="0" applyFont="1" applyFill="1" applyBorder="1" applyNumberFormat="1">
      <alignment horizontal="center" vertical="center" wrapText="1"/>
    </xf>
    <xf numFmtId="0" fontId="53" fillId="0" borderId="0" xfId="0" applyFont="1" applyNumberFormat="1">
      <alignment horizontal="center" vertical="center" wrapText="1"/>
    </xf>
    <xf numFmtId="0" fontId="23" fillId="0" borderId="3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0" xfId="0" applyFont="1" applyFill="1" applyNumberFormat="1">
      <alignment horizontal="center" vertical="center" wrapText="1"/>
    </xf>
    <xf numFmtId="0" fontId="84" fillId="37" borderId="20" xfId="0" applyFont="1" applyFill="1" applyBorder="1" applyNumberFormat="1">
      <alignment horizontal="center" vertical="center" wrapText="1"/>
    </xf>
    <xf numFmtId="0" fontId="84" fillId="37" borderId="0" xfId="0" applyFont="1" applyFill="1" applyNumberFormat="1">
      <alignment horizontal="center" vertical="center" wrapText="1"/>
    </xf>
    <xf numFmtId="167" fontId="0" fillId="41" borderId="18" xfId="0" applyFont="1" applyFill="1" applyBorder="1" applyNumberFormat="1">
      <alignment horizontal="center" vertical="center" wrapText="1"/>
      <protection locked="0"/>
    </xf>
    <xf numFmtId="167"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horizontal="left" vertical="center" indent="1"/>
    </xf>
    <xf numFmtId="0" fontId="53" fillId="0" borderId="15" xfId="0" applyFont="1" applyBorder="1" applyNumberFormat="1">
      <alignment horizontal="center" vertical="center"/>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xf>
    <xf numFmtId="0" fontId="23" fillId="37" borderId="13" xfId="0" applyFont="1" applyFill="1" applyBorder="1" applyNumberFormat="1">
      <alignment horizontal="left" vertical="center" wrapText="1" indent="1"/>
    </xf>
    <xf numFmtId="0" fontId="23" fillId="0" borderId="13" xfId="0" applyFont="1" applyBorder="1" applyNumberFormat="1">
      <alignment horizontal="left" vertical="center" wrapText="1" indent="6"/>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4" fillId="0" borderId="0" xfId="0" applyFont="1" applyNumberFormat="1">
      <alignment vertical="center"/>
    </xf>
    <xf numFmtId="49" fontId="0" fillId="0" borderId="0" xfId="0" applyFont="1" applyNumberFormat="1">
      <alignment vertical="top"/>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49" fontId="0" fillId="0" borderId="0" xfId="0" applyFont="1" applyNumberFormat="1">
      <alignment vertical="top"/>
    </xf>
    <xf numFmtId="0" fontId="53" fillId="0" borderId="13" xfId="0" applyFont="1" applyBorder="1" applyNumberFormat="1">
      <alignment horizontal="center" vertical="center" wrapText="1"/>
    </xf>
    <xf numFmtId="49" fontId="53" fillId="0" borderId="0" xfId="0" applyFont="1" applyNumberFormat="1">
      <alignment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0" fillId="0" borderId="0" xfId="0" applyFont="1" applyNumberFormat="1">
      <alignment vertical="top"/>
    </xf>
    <xf numFmtId="0" fontId="53" fillId="0" borderId="15" xfId="0" applyFont="1" applyBorder="1" applyNumberFormat="1">
      <alignment horizontal="center"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4" xfId="0" applyFont="1" applyFill="1" applyBorder="1" applyNumberFormat="1">
      <alignment horizontal="left" vertical="center" wrapText="1"/>
    </xf>
    <xf numFmtId="0" fontId="52" fillId="0" borderId="18" xfId="0" applyFont="1" applyBorder="1" applyNumberFormat="1">
      <alignment vertical="top" wrapText="1"/>
    </xf>
    <xf numFmtId="49" fontId="0" fillId="0" borderId="0" xfId="0" applyFont="1" applyNumberFormat="1">
      <alignment vertical="top"/>
    </xf>
    <xf numFmtId="49" fontId="23" fillId="33" borderId="13" xfId="0" applyFont="1" applyFill="1" applyBorder="1" applyNumberFormat="1">
      <alignment horizontal="left" vertical="center" wrapText="1" indent="6"/>
      <protection locked="0"/>
    </xf>
    <xf numFmtId="49" fontId="23" fillId="42" borderId="13" xfId="0" applyFont="1" applyFill="1" applyBorder="1" applyNumberFormat="1">
      <alignment horizontal="center" vertical="center" wrapText="1"/>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0" fillId="0" borderId="0" xfId="0" applyFont="1" applyNumberFormat="1">
      <alignment vertical="top"/>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5"/>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4"/>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30" xfId="0" applyFont="1" applyFill="1" applyBorder="1" applyNumberFormat="1">
      <alignment horizontal="center" vertical="center" wrapText="1"/>
    </xf>
    <xf numFmtId="49" fontId="0" fillId="0" borderId="0" xfId="0" applyFont="1" applyNumberFormat="1">
      <alignment vertical="top"/>
    </xf>
    <xf numFmtId="49" fontId="23" fillId="0" borderId="0" xfId="0" applyFont="1" applyNumberFormat="1">
      <alignment vertical="top"/>
    </xf>
    <xf numFmtId="49" fontId="46" fillId="0" borderId="0" xfId="0" applyFont="1" applyNumberFormat="1">
      <alignment vertical="top"/>
    </xf>
    <xf numFmtId="49" fontId="23" fillId="0" borderId="25" xfId="0" applyFont="1" applyBorder="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3"/>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0" fontId="67"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49" fontId="54" fillId="0" borderId="0" xfId="0" applyFont="1" applyNumberFormat="1">
      <alignment horizontal="left" vertical="center"/>
    </xf>
    <xf numFmtId="49" fontId="54" fillId="0" borderId="0" xfId="0" applyFont="1" applyNumberFormat="1">
      <alignment vertical="top"/>
    </xf>
    <xf numFmtId="49" fontId="111" fillId="0" borderId="0" xfId="0" applyFont="1" applyNumberFormat="1">
      <alignment vertical="top"/>
    </xf>
    <xf numFmtId="49" fontId="101" fillId="0" borderId="0" xfId="0" applyFont="1" applyNumberFormat="1">
      <alignment horizontal="left" vertical="center"/>
    </xf>
    <xf numFmtId="49" fontId="54" fillId="0" borderId="0" xfId="0" applyFont="1" applyNumberFormat="1">
      <alignment horizontal="left" vertical="center" indent="1"/>
    </xf>
    <xf numFmtId="49" fontId="54" fillId="0" borderId="0" xfId="0" applyFont="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5"/>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4"/>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30"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3"/>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0" fontId="67"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5"/>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4"/>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30"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3"/>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0" fontId="67"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5"/>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4"/>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30"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3"/>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0" fontId="67"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5"/>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4"/>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30"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3"/>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0" fontId="67"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5"/>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4"/>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30"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3"/>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0" fontId="67"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5"/>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4"/>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30"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3"/>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0" fontId="67"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5"/>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4"/>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30"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3"/>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0" fontId="67"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5"/>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4"/>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30"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3"/>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0" fontId="67"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5"/>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4"/>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30"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3"/>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0" fontId="67"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5"/>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4"/>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30"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3"/>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0" fontId="67"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5"/>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4"/>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30"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3"/>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0" fontId="67"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5"/>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4"/>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30"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3"/>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0" fontId="67" fillId="0" borderId="0" xfId="0" applyFont="1" applyNumberFormat="1">
      <alignment vertical="center" wrapText="1"/>
    </xf>
    <xf numFmtId="0" fontId="23" fillId="0" borderId="0" xfId="0" applyFont="1" applyNumberFormat="1">
      <alignment horizontal="left" vertical="top"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6"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6"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6"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6" fontId="23" fillId="38" borderId="14" xfId="0" applyFont="1" applyFill="1" applyBorder="1" applyNumberFormat="1">
      <alignment horizontal="right" vertical="center" wrapText="1"/>
    </xf>
    <xf numFmtId="166"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6"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67"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5"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0" fontId="23" fillId="37" borderId="0" xfId="0" applyFont="1" applyFill="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23" fillId="0" borderId="75"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67"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67" fontId="0" fillId="41" borderId="14" xfId="0" applyFont="1" applyFill="1" applyBorder="1" applyNumberFormat="1">
      <alignment horizontal="left" vertical="center" wrapText="1"/>
      <protection locked="0"/>
    </xf>
    <xf numFmtId="167"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167" fontId="0" fillId="41" borderId="14" xfId="0" applyFont="1" applyFill="1" applyBorder="1" applyNumberFormat="1">
      <alignment horizontal="left" vertical="center" wrapText="1"/>
      <protection locked="0"/>
    </xf>
    <xf numFmtId="167" fontId="0" fillId="41" borderId="15" xfId="0" applyFont="1" applyFill="1" applyBorder="1" applyNumberFormat="1">
      <alignment horizontal="left" vertical="center" wrapText="1"/>
      <protection locked="0"/>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5" fontId="23" fillId="0" borderId="38" xfId="0" applyFont="1" applyBorder="1" applyNumberFormat="1">
      <alignment horizontal="center" vertical="center" wrapText="1"/>
    </xf>
    <xf numFmtId="165"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67"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67" fontId="54" fillId="0" borderId="0" xfId="0" applyFont="1" applyNumberFormat="1">
      <alignment horizontal="center" vertical="center" wrapText="1"/>
    </xf>
    <xf numFmtId="165" fontId="23" fillId="0" borderId="18" xfId="0" applyFont="1" applyBorder="1" applyNumberFormat="1">
      <alignment horizontal="center" vertical="center" wrapText="1"/>
    </xf>
    <xf numFmtId="165" fontId="23" fillId="0" borderId="15"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5" fontId="23" fillId="0" borderId="24" xfId="0" applyFont="1" applyBorder="1" applyNumberFormat="1">
      <alignment horizontal="center" vertical="center" wrapText="1"/>
    </xf>
    <xf numFmtId="165"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5"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5" fontId="52" fillId="0" borderId="20" xfId="0" applyFont="1" applyBorder="1" applyNumberFormat="1">
      <alignment horizontal="center" vertical="center" wrapText="1"/>
    </xf>
    <xf numFmtId="165" fontId="52" fillId="0" borderId="20" xfId="0" applyFont="1" applyBorder="1" applyNumberFormat="1">
      <alignment horizontal="center" vertical="center" wrapText="1"/>
    </xf>
    <xf numFmtId="165" fontId="52" fillId="0" borderId="21" xfId="0" applyFont="1" applyBorder="1" applyNumberFormat="1">
      <alignment horizontal="center" vertical="center" wrapText="1"/>
    </xf>
    <xf numFmtId="0" fontId="54" fillId="0" borderId="0" xfId="0" applyFont="1" applyNumberFormat="1">
      <alignment horizontal="center" vertical="center"/>
    </xf>
    <xf numFmtId="165" fontId="23" fillId="0" borderId="13" xfId="0" applyFont="1" applyBorder="1" applyNumberFormat="1">
      <alignment horizontal="center" vertical="center" wrapText="1"/>
    </xf>
    <xf numFmtId="165" fontId="23" fillId="0" borderId="37" xfId="0" applyFont="1" applyBorder="1" applyNumberFormat="1">
      <alignment horizontal="center" vertical="center" wrapText="1"/>
    </xf>
    <xf numFmtId="165"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67"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67" fontId="0" fillId="41" borderId="13" xfId="0" applyFont="1" applyFill="1" applyBorder="1" applyNumberFormat="1">
      <alignment horizontal="center" vertical="top" wrapText="1"/>
      <protection locked="0"/>
    </xf>
    <xf numFmtId="167"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0" fontId="23" fillId="39" borderId="54" xfId="0" applyFont="1" applyFill="1" applyBorder="1" applyNumberFormat="1">
      <alignment vertical="center" wrapText="1"/>
    </xf>
    <xf numFmtId="49" fontId="0" fillId="38" borderId="37" xfId="0" applyFont="1" applyFill="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8"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7" fillId="39" borderId="14" xfId="0" applyFont="1" applyFill="1" applyBorder="1" applyNumberFormat="1">
      <alignment horizontal="left" vertical="center"/>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0" fillId="0" borderId="0" xfId="0" applyFont="1" applyNumberFormat="1">
      <alignment vertical="top"/>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67"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7" borderId="0" xfId="78" applyFont="1" applyFill="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2"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2"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1" borderId="62"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3" xfId="0" applyFont="1" applyBorder="1" applyNumberFormat="1">
      <alignment horizontal="left" vertical="center" wrapText="1"/>
    </xf>
    <xf numFmtId="0" fontId="22" fillId="47" borderId="62" xfId="0" applyFont="1" applyFill="1" applyBorder="1" applyNumberFormat="1">
      <alignment horizontal="right" vertical="center" wrapText="1" indent="1"/>
    </xf>
    <xf numFmtId="0" fontId="22" fillId="47" borderId="65"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4"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4"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67"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167" fontId="0" fillId="41" borderId="13" xfId="0" applyFont="1" applyFill="1" applyBorder="1" applyNumberFormat="1">
      <alignment horizontal="left" vertical="center" wrapText="1" indent="1"/>
      <protection locked="0"/>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67" fontId="0" fillId="41" borderId="13" xfId="0" applyFont="1" applyFill="1" applyBorder="1" applyNumberFormat="1">
      <alignment horizontal="left" vertical="center" wrapText="1" indent="1"/>
      <protection locked="0"/>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67"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5" fontId="23" fillId="0" borderId="15" xfId="0" applyFont="1" applyBorder="1" applyNumberFormat="1">
      <alignment horizontal="center" vertical="center" wrapText="1"/>
    </xf>
    <xf numFmtId="165"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54" fillId="0" borderId="0" xfId="0" applyFont="1" applyNumberFormat="1">
      <alignment vertical="center"/>
    </xf>
    <xf numFmtId="0" fontId="49" fillId="0" borderId="0" xfId="0" applyFont="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4" fillId="0" borderId="0" xfId="0" applyFont="1" applyNumberFormat="1">
      <alignmen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42" borderId="13" xfId="0" applyFont="1" applyFill="1" applyBorder="1" applyNumberFormat="1">
      <alignment horizontal="left" vertical="top" wrapText="1"/>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49" fontId="23" fillId="42" borderId="24" xfId="0" applyFont="1" applyFill="1" applyBorder="1" applyNumberFormat="1">
      <alignment horizontal="center" vertical="center" wrapText="1"/>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47" fillId="39" borderId="30"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44" fillId="0" borderId="0" xfId="0" applyFont="1" applyNumberFormat="1">
      <alignment horizontal="center" vertical="center" wrapText="1"/>
    </xf>
    <xf numFmtId="49" fontId="0" fillId="0" borderId="37" xfId="0" applyFont="1" applyBorder="1" applyNumberFormat="1">
      <alignment vertical="top"/>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vertical="top"/>
      <protection locked="0"/>
    </xf>
    <xf numFmtId="0" fontId="0" fillId="42"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23"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3" fillId="42" borderId="37" xfId="0" applyFont="1" applyFill="1" applyBorder="1" applyNumberFormat="1">
      <alignment horizontal="center"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49" fontId="0" fillId="0" borderId="13" xfId="0" applyFont="1" applyBorder="1" applyNumberFormat="1">
      <alignment vertical="top"/>
    </xf>
    <xf numFmtId="49" fontId="0" fillId="42" borderId="13" xfId="0" applyFont="1" applyFill="1" applyBorder="1" applyNumberFormat="1">
      <alignment horizontal="left" vertical="center" wrapText="1"/>
      <protection locked="0"/>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47" fillId="39" borderId="30" xfId="0" applyFont="1" applyFill="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47" fillId="39" borderId="14" xfId="0" applyFont="1" applyFill="1" applyBorder="1" applyNumberFormat="1">
      <alignment horizontal="left" vertical="center"/>
    </xf>
    <xf numFmtId="49" fontId="0" fillId="42" borderId="13" xfId="0" applyFont="1" applyFill="1" applyBorder="1" applyNumberFormat="1">
      <alignment horizontal="left" vertical="top"/>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47" fillId="39" borderId="14" xfId="0" applyFont="1" applyFill="1" applyBorder="1" applyNumberFormat="1">
      <alignment horizontal="left" vertical="center"/>
    </xf>
    <xf numFmtId="0" fontId="23" fillId="37" borderId="13" xfId="0" applyFont="1" applyFill="1" applyBorder="1" applyNumberFormat="1">
      <alignment horizontal="left"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0" fillId="37" borderId="13"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167" fontId="0" fillId="0" borderId="13" xfId="0" applyFont="1" applyBorder="1" applyNumberFormat="1">
      <alignment horizontal="left" vertical="center" wrapText="1" inden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4" fontId="23" fillId="33" borderId="13" xfId="0" applyFont="1" applyFill="1" applyBorder="1" applyNumberFormat="1">
      <alignment horizontal="right" vertical="center" wrapText="1"/>
      <protection locked="0"/>
    </xf>
    <xf numFmtId="167"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4" fontId="53" fillId="0" borderId="13" xfId="0" applyFont="1" applyBorder="1" applyNumberFormat="1">
      <alignment horizontal="right" vertical="center" wrapText="1"/>
    </xf>
    <xf numFmtId="167"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67"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67"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4"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4"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67"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4"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4"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4" fontId="54" fillId="0" borderId="13" xfId="0" applyFont="1" applyBorder="1" applyNumberFormat="1">
      <alignment horizontal="right" vertical="center" wrapText="1"/>
    </xf>
    <xf numFmtId="167"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67"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center" wrapText="1"/>
    </xf>
    <xf numFmtId="0" fontId="23" fillId="0" borderId="0" xfId="0" applyFont="1" applyNumberFormat="1">
      <alignment vertical="center" wrapText="1"/>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4" fontId="23" fillId="33" borderId="13" xfId="0" applyFont="1" applyFill="1" applyBorder="1" applyNumberFormat="1">
      <alignment horizontal="right" vertical="center" wrapText="1"/>
      <protection locked="0"/>
    </xf>
    <xf numFmtId="167"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4" fontId="23" fillId="33" borderId="13" xfId="0" applyFont="1" applyFill="1" applyBorder="1" applyNumberFormat="1">
      <alignment horizontal="right" vertical="center" wrapText="1"/>
      <protection locked="0"/>
    </xf>
    <xf numFmtId="167"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4" fontId="23" fillId="0" borderId="13" xfId="0" applyFont="1" applyBorder="1" applyNumberFormat="1">
      <alignment horizontal="right" vertical="center" wrapText="1"/>
    </xf>
    <xf numFmtId="49" fontId="0" fillId="41" borderId="13" xfId="0" applyFont="1" applyFill="1" applyBorder="1" applyNumberFormat="1">
      <alignment horizontal="center" vertical="center" wrapText="1"/>
      <protection locked="0"/>
    </xf>
    <xf numFmtId="4" fontId="23" fillId="0" borderId="13" xfId="0" applyFont="1" applyBorder="1" applyNumberFormat="1">
      <alignment horizontal="right" vertical="center" wrapText="1"/>
    </xf>
    <xf numFmtId="49" fontId="0" fillId="41" borderId="13" xfId="0" applyFont="1" applyFill="1" applyBorder="1" applyNumberFormat="1">
      <alignment horizontal="center" vertical="center" wrapText="1"/>
      <protection locked="0"/>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3" fillId="0" borderId="0" xfId="0" applyFont="1" applyNumberFormat="1">
      <alignment vertical="center" wrapText="1"/>
    </xf>
    <xf numFmtId="49" fontId="53" fillId="0" borderId="13" xfId="0" applyFont="1" applyBorder="1" applyNumberFormat="1">
      <alignment vertical="center" wrapText="1"/>
    </xf>
    <xf numFmtId="0" fontId="53" fillId="0" borderId="0" xfId="0" applyFont="1" applyNumberFormat="1">
      <alignment vertical="center" wrapText="1"/>
    </xf>
    <xf numFmtId="49" fontId="53" fillId="0" borderId="13" xfId="0" applyFont="1" applyBorder="1" applyNumberFormat="1">
      <alignment vertical="center" wrapText="1"/>
    </xf>
    <xf numFmtId="0" fontId="53" fillId="0" borderId="0" xfId="0" applyFont="1" applyNumberFormat="1">
      <alignment vertical="center"/>
    </xf>
    <xf numFmtId="0" fontId="53" fillId="0" borderId="0" xfId="0" applyFont="1" applyNumberFormat="1">
      <alignment vertical="center"/>
    </xf>
    <xf numFmtId="0" fontId="23" fillId="0" borderId="20" xfId="0" applyFont="1" applyBorder="1" applyNumberFormat="1">
      <alignment horizontal="left" vertical="top" wrapText="1" inden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36" fillId="37" borderId="0" xfId="0" applyFont="1" applyFill="1" applyNumberFormat="1">
      <alignment horizontal="center" vertical="center" wrapText="1"/>
    </xf>
    <xf numFmtId="0" fontId="23" fillId="38" borderId="13" xfId="0" applyFont="1" applyFill="1" applyBorder="1" applyNumberFormat="1">
      <alignment horizontal="left" vertical="center" wrapText="1" indent="1"/>
    </xf>
    <xf numFmtId="0" fontId="23" fillId="38" borderId="13" xfId="0" applyFont="1" applyFill="1" applyBorder="1" applyNumberFormat="1">
      <alignment horizontal="left" vertical="center" wrapText="1" indent="1"/>
    </xf>
    <xf numFmtId="167" fontId="23" fillId="38" borderId="13" xfId="0" applyFont="1" applyFill="1" applyBorder="1" applyNumberFormat="1">
      <alignment horizontal="left" vertical="center" wrapText="1" indent="1"/>
    </xf>
    <xf numFmtId="167" fontId="23" fillId="38" borderId="13" xfId="0" applyFont="1" applyFill="1" applyBorder="1" applyNumberFormat="1">
      <alignment horizontal="left" vertical="center" wrapText="1" indent="1"/>
    </xf>
    <xf numFmtId="0" fontId="54" fillId="0" borderId="0" xfId="0" applyFont="1" applyNumberFormat="1">
      <alignment vertical="center" wrapText="1"/>
    </xf>
    <xf numFmtId="0" fontId="54" fillId="0" borderId="0" xfId="0" applyFont="1" applyNumberFormat="1">
      <alignment vertical="center" wrapText="1"/>
    </xf>
    <xf numFmtId="0" fontId="44" fillId="0" borderId="28" xfId="0" applyFont="1" applyBorder="1" applyNumberFormat="1">
      <alignment horizontal="center" vertical="center" wrapText="1"/>
    </xf>
    <xf numFmtId="0" fontId="44" fillId="0" borderId="28"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20"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20"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37" borderId="37" xfId="0" applyFont="1" applyFill="1" applyBorder="1" applyNumberFormat="1">
      <alignment horizontal="center" vertical="center" wrapText="1"/>
    </xf>
    <xf numFmtId="0" fontId="53" fillId="0" borderId="0" xfId="0" applyFont="1" applyNumberFormat="1">
      <alignment horizontal="center" vertical="center" wrapText="1"/>
    </xf>
    <xf numFmtId="0" fontId="23" fillId="0" borderId="3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0" xfId="0" applyFont="1" applyFill="1" applyNumberFormat="1">
      <alignment horizontal="center" vertical="center" wrapText="1"/>
    </xf>
    <xf numFmtId="0" fontId="84" fillId="37" borderId="20" xfId="0" applyFont="1" applyFill="1" applyBorder="1" applyNumberFormat="1">
      <alignment horizontal="center" vertical="center" wrapText="1"/>
    </xf>
    <xf numFmtId="0" fontId="84" fillId="37" borderId="0" xfId="0" applyFont="1" applyFill="1" applyNumberFormat="1">
      <alignment horizontal="center" vertical="center" wrapText="1"/>
    </xf>
    <xf numFmtId="167" fontId="0" fillId="41" borderId="18" xfId="0" applyFont="1" applyFill="1" applyBorder="1" applyNumberFormat="1">
      <alignment horizontal="center" vertical="center" wrapText="1"/>
      <protection locked="0"/>
    </xf>
    <xf numFmtId="167"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horizontal="left" vertical="center" indent="1"/>
    </xf>
    <xf numFmtId="0" fontId="53" fillId="0" borderId="15" xfId="0" applyFont="1" applyBorder="1" applyNumberFormat="1">
      <alignment horizontal="center" vertical="center"/>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xf>
    <xf numFmtId="0" fontId="23" fillId="37" borderId="13" xfId="0" applyFont="1" applyFill="1" applyBorder="1" applyNumberFormat="1">
      <alignment horizontal="left" vertical="center" wrapText="1" indent="1"/>
    </xf>
    <xf numFmtId="0" fontId="23" fillId="0" borderId="13" xfId="0" applyFont="1" applyBorder="1" applyNumberFormat="1">
      <alignment horizontal="left" vertical="center" wrapText="1" indent="6"/>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4" fillId="0" borderId="0" xfId="0" applyFont="1" applyNumberFormat="1">
      <alignment vertical="center"/>
    </xf>
    <xf numFmtId="49" fontId="0" fillId="0" borderId="0" xfId="0" applyFont="1" applyNumberFormat="1">
      <alignment vertical="top"/>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49" fontId="0" fillId="0" borderId="0" xfId="0" applyFont="1" applyNumberFormat="1">
      <alignment vertical="top"/>
    </xf>
    <xf numFmtId="0" fontId="53" fillId="0" borderId="13" xfId="0" applyFont="1" applyBorder="1" applyNumberFormat="1">
      <alignment horizontal="center" vertical="center" wrapText="1"/>
    </xf>
    <xf numFmtId="49" fontId="53" fillId="0" borderId="0" xfId="0" applyFont="1" applyNumberFormat="1">
      <alignment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0" fillId="0" borderId="0" xfId="0" applyFont="1" applyNumberFormat="1">
      <alignment vertical="top"/>
    </xf>
    <xf numFmtId="0" fontId="53" fillId="0" borderId="15" xfId="0" applyFont="1" applyBorder="1" applyNumberFormat="1">
      <alignment horizontal="center"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4" xfId="0" applyFont="1" applyFill="1" applyBorder="1" applyNumberFormat="1">
      <alignment horizontal="left" vertical="center" wrapText="1"/>
    </xf>
    <xf numFmtId="0" fontId="52" fillId="0" borderId="18" xfId="0" applyFont="1" applyBorder="1" applyNumberFormat="1">
      <alignment vertical="top" wrapText="1"/>
    </xf>
    <xf numFmtId="49" fontId="0" fillId="0" borderId="0" xfId="0" applyFont="1" applyNumberFormat="1">
      <alignment vertical="top"/>
    </xf>
    <xf numFmtId="49" fontId="23" fillId="33" borderId="13" xfId="0" applyFont="1" applyFill="1" applyBorder="1" applyNumberFormat="1">
      <alignment horizontal="left" vertical="center" wrapText="1" indent="6"/>
      <protection locked="0"/>
    </xf>
    <xf numFmtId="49" fontId="23" fillId="42" borderId="13" xfId="0" applyFont="1" applyFill="1" applyBorder="1" applyNumberFormat="1">
      <alignment horizontal="center" vertical="center" wrapText="1"/>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0" fillId="0" borderId="0" xfId="0" applyFont="1" applyNumberFormat="1">
      <alignment vertical="top"/>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5"/>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4"/>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30" xfId="0" applyFont="1" applyFill="1" applyBorder="1" applyNumberFormat="1">
      <alignment horizontal="center" vertical="center" wrapText="1"/>
    </xf>
    <xf numFmtId="49" fontId="0" fillId="0" borderId="0" xfId="0" applyFont="1" applyNumberFormat="1">
      <alignment vertical="top"/>
    </xf>
    <xf numFmtId="49" fontId="23" fillId="0" borderId="0" xfId="0" applyFont="1" applyNumberFormat="1">
      <alignment vertical="top"/>
    </xf>
    <xf numFmtId="49" fontId="46" fillId="0" borderId="0" xfId="0" applyFont="1" applyNumberFormat="1">
      <alignment vertical="top"/>
    </xf>
    <xf numFmtId="49" fontId="23" fillId="0" borderId="25" xfId="0" applyFont="1" applyBorder="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3"/>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0" fontId="67"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49" fontId="54" fillId="0" borderId="0" xfId="0" applyFont="1" applyNumberFormat="1">
      <alignment horizontal="left" vertical="center"/>
    </xf>
    <xf numFmtId="49" fontId="54" fillId="0" borderId="0" xfId="0" applyFont="1" applyNumberFormat="1">
      <alignment vertical="top"/>
    </xf>
    <xf numFmtId="49" fontId="111" fillId="0" borderId="0" xfId="0" applyFont="1" applyNumberFormat="1">
      <alignment vertical="top"/>
    </xf>
    <xf numFmtId="49" fontId="101" fillId="0" borderId="0" xfId="0" applyFont="1" applyNumberFormat="1">
      <alignment horizontal="left" vertical="center"/>
    </xf>
    <xf numFmtId="49" fontId="54" fillId="0" borderId="0" xfId="0" applyFont="1" applyNumberFormat="1">
      <alignment horizontal="left" vertical="center" indent="1"/>
    </xf>
    <xf numFmtId="49" fontId="54" fillId="0" borderId="0" xfId="0" applyFont="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5"/>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4"/>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30"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3"/>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0" fontId="67"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5"/>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4"/>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30"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3"/>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0" fontId="67"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5"/>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4"/>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30"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3"/>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0" fontId="67"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5"/>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4"/>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30"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3"/>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0" fontId="67"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5"/>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4"/>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30"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3"/>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0" fontId="67"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5"/>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4"/>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30"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3"/>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0" fontId="67"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5"/>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4"/>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30"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3"/>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0" fontId="67"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5"/>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4"/>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30"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3"/>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0" fontId="67"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5"/>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4"/>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30"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3"/>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0" fontId="67"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167" fontId="0" fillId="41" borderId="13" xfId="0" applyFont="1" applyFill="1" applyBorder="1" applyNumberFormat="1">
      <alignment horizontal="center" vertical="center" wrapText="1"/>
      <protection locked="0"/>
    </xf>
    <xf numFmtId="49" fontId="0" fillId="0" borderId="0" xfId="0" applyFont="1" applyNumberFormat="1">
      <alignment vertical="top"/>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5"/>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4"/>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30"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3"/>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0" fontId="67"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5"/>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4"/>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30"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3"/>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0" fontId="67"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167" fontId="0" fillId="41" borderId="18" xfId="0" applyFont="1" applyFill="1" applyBorder="1" applyNumberFormat="1">
      <alignment horizontal="center" vertical="center" wrapText="1"/>
      <protection locked="0"/>
    </xf>
    <xf numFmtId="49" fontId="0" fillId="0" borderId="0" xfId="0" applyFont="1" applyNumberFormat="1">
      <alignment vertical="top"/>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5"/>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4"/>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30"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3"/>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0" fontId="67" fillId="0" borderId="0" xfId="0" applyFont="1" applyNumberFormat="1">
      <alignment vertical="center" wrapText="1"/>
    </xf>
    <xf numFmtId="0" fontId="23" fillId="0" borderId="0" xfId="0" applyFont="1" applyNumberFormat="1">
      <alignment horizontal="left" vertical="top" wrapText="1"/>
    </xf>
    <xf numFmtId="0" fontId="23" fillId="0" borderId="0" xfId="0" applyFont="1" applyNumberFormat="1">
      <alignment horizontal="left" vertical="top" wrapText="1"/>
    </xf>
    <xf numFmtId="49" fontId="0" fillId="0" borderId="0" xfId="0" applyFont="1" applyNumberFormat="1">
      <alignment vertical="top"/>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6"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6"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6"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6" fontId="23" fillId="38" borderId="14" xfId="0" applyFont="1" applyFill="1" applyBorder="1" applyNumberFormat="1">
      <alignment horizontal="right" vertical="center" wrapText="1"/>
    </xf>
    <xf numFmtId="166"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6"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67"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5"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0" fontId="23" fillId="37" borderId="0" xfId="0" applyFont="1" applyFill="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23" fillId="0" borderId="75"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67"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67" fontId="0" fillId="41" borderId="14" xfId="0" applyFont="1" applyFill="1" applyBorder="1" applyNumberFormat="1">
      <alignment horizontal="left" vertical="center" wrapText="1"/>
      <protection locked="0"/>
    </xf>
    <xf numFmtId="167"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167" fontId="0" fillId="41" borderId="14" xfId="0" applyFont="1" applyFill="1" applyBorder="1" applyNumberFormat="1">
      <alignment horizontal="left" vertical="center" wrapText="1"/>
      <protection locked="0"/>
    </xf>
    <xf numFmtId="167" fontId="0" fillId="41" borderId="15" xfId="0" applyFont="1" applyFill="1" applyBorder="1" applyNumberFormat="1">
      <alignment horizontal="left" vertical="center" wrapText="1"/>
      <protection locked="0"/>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49" fontId="129" fillId="41" borderId="13" xfId="0" applyFont="1" applyFill="1" applyBorder="1" applyNumberFormat="1">
      <alignment horizontal="left" vertical="center" wrapText="1"/>
      <protection locked="0"/>
    </xf>
    <xf numFmtId="0" fontId="23" fillId="0" borderId="37" xfId="0" applyFont="1" applyBorder="1" applyNumberFormat="1">
      <alignment horizontal="left" vertical="top" wrapText="1"/>
    </xf>
    <xf numFmtId="167" fontId="0" fillId="41" borderId="14" xfId="0" applyFont="1" applyFill="1" applyBorder="1" applyNumberFormat="1">
      <alignment horizontal="left" vertical="center" wrapText="1"/>
      <protection locked="0"/>
    </xf>
    <xf numFmtId="167" fontId="0" fillId="41" borderId="15" xfId="0" applyFont="1" applyFill="1" applyBorder="1" applyNumberFormat="1">
      <alignment horizontal="left" vertical="center" wrapText="1"/>
      <protection locked="0"/>
    </xf>
    <xf numFmtId="0"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top" wrapText="1"/>
    </xf>
    <xf numFmtId="0" fontId="46" fillId="0" borderId="0" xfId="0" applyFont="1" applyNumberFormat="1">
      <alignment vertical="center" wrapText="1"/>
    </xf>
    <xf numFmtId="0" fontId="23" fillId="0" borderId="37" xfId="0" applyFont="1" applyBorder="1" applyNumberFormat="1">
      <alignment vertical="center" wrapText="1"/>
    </xf>
    <xf numFmtId="0" fontId="0"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0" fontId="0" fillId="0" borderId="14" xfId="0" applyFont="1" applyBorder="1" applyNumberFormat="1">
      <alignment horizontal="center" vertical="center" wrapText="1"/>
    </xf>
    <xf numFmtId="0" fontId="0" fillId="0" borderId="37" xfId="0" applyFont="1" applyBorder="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xf>
    <xf numFmtId="0" fontId="23" fillId="0" borderId="0" xfId="0" applyFont="1" applyNumberFormat="1">
      <alignment vertical="center"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5" fontId="23" fillId="0" borderId="38" xfId="0" applyFont="1" applyBorder="1" applyNumberFormat="1">
      <alignment horizontal="center" vertical="center" wrapText="1"/>
    </xf>
    <xf numFmtId="165"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67"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67" fontId="54" fillId="0" borderId="0" xfId="0" applyFont="1" applyNumberFormat="1">
      <alignment horizontal="center" vertical="center" wrapText="1"/>
    </xf>
    <xf numFmtId="165" fontId="23" fillId="0" borderId="18" xfId="0" applyFont="1" applyBorder="1" applyNumberFormat="1">
      <alignment horizontal="center" vertical="center" wrapText="1"/>
    </xf>
    <xf numFmtId="165" fontId="23" fillId="0" borderId="15"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5" fontId="23" fillId="0" borderId="24" xfId="0" applyFont="1" applyBorder="1" applyNumberFormat="1">
      <alignment horizontal="center" vertical="center" wrapText="1"/>
    </xf>
    <xf numFmtId="165"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5"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5" fontId="52" fillId="0" borderId="20" xfId="0" applyFont="1" applyBorder="1" applyNumberFormat="1">
      <alignment horizontal="center" vertical="center" wrapText="1"/>
    </xf>
    <xf numFmtId="165" fontId="52" fillId="0" borderId="20" xfId="0" applyFont="1" applyBorder="1" applyNumberFormat="1">
      <alignment horizontal="center" vertical="center" wrapText="1"/>
    </xf>
    <xf numFmtId="165" fontId="52" fillId="0" borderId="21" xfId="0" applyFont="1" applyBorder="1" applyNumberFormat="1">
      <alignment horizontal="center" vertical="center" wrapText="1"/>
    </xf>
    <xf numFmtId="0" fontId="54" fillId="0" borderId="0" xfId="0" applyFont="1" applyNumberFormat="1">
      <alignment horizontal="center" vertical="center"/>
    </xf>
    <xf numFmtId="165" fontId="23" fillId="0" borderId="13" xfId="0" applyFont="1" applyBorder="1" applyNumberFormat="1">
      <alignment horizontal="center" vertical="center" wrapText="1"/>
    </xf>
    <xf numFmtId="165" fontId="23" fillId="0" borderId="37" xfId="0" applyFont="1" applyBorder="1" applyNumberFormat="1">
      <alignment horizontal="center" vertical="center" wrapText="1"/>
    </xf>
    <xf numFmtId="165"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67"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67" fontId="0" fillId="41" borderId="13" xfId="0" applyFont="1" applyFill="1" applyBorder="1" applyNumberFormat="1">
      <alignment horizontal="center" vertical="top" wrapText="1"/>
      <protection locked="0"/>
    </xf>
    <xf numFmtId="167"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0" fontId="23" fillId="39" borderId="54" xfId="0" applyFont="1" applyFill="1" applyBorder="1" applyNumberFormat="1">
      <alignment vertical="center" wrapText="1"/>
    </xf>
    <xf numFmtId="49" fontId="0" fillId="38" borderId="37" xfId="0" applyFont="1" applyFill="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8"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7" fillId="39" borderId="14" xfId="0" applyFont="1" applyFill="1" applyBorder="1" applyNumberFormat="1">
      <alignment horizontal="left" vertical="center"/>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0" fillId="0" borderId="0" xfId="0" applyFont="1" applyNumberFormat="1">
      <alignment vertical="top"/>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67"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cellXfs>
  <cellStyles count="111">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ells 2" xfId="51"/>
    <cellStyle name="currency1" xfId="52"/>
    <cellStyle name="Currency2" xfId="53"/>
    <cellStyle name="currency3" xfId="54"/>
    <cellStyle name="currency4" xfId="55"/>
    <cellStyle name="Followed Hyperlink" xfId="56"/>
    <cellStyle name="Header 3" xfId="57"/>
    <cellStyle name="Hyperlink" xfId="58" builtinId="8"/>
    <cellStyle name="Normal1" xfId="59"/>
    <cellStyle name="Normal2" xfId="53"/>
    <cellStyle name="Percent1" xfId="53"/>
    <cellStyle name="Title 4" xfId="60"/>
    <cellStyle name="Ввод  2" xfId="61"/>
    <cellStyle name="Гиперссылка 2" xfId="62"/>
    <cellStyle name="Гиперссылка 2 2" xfId="63"/>
    <cellStyle name="Гиперссылка 3" xfId="64"/>
    <cellStyle name="Гиперссылка 4" xfId="65"/>
    <cellStyle name="Гиперссылка 5" xfId="66"/>
    <cellStyle name="Заголовок" xfId="67"/>
    <cellStyle name="ЗаголовокСтолбца" xfId="68"/>
    <cellStyle name="Значение" xfId="69"/>
    <cellStyle name="Обычный 10" xfId="70"/>
    <cellStyle name="Обычный 12" xfId="71"/>
    <cellStyle name="Обычный 12 2" xfId="72"/>
    <cellStyle name="Обычный 14" xfId="71"/>
    <cellStyle name="Обычный 14 2" xfId="71"/>
    <cellStyle name="Обычный 14 3" xfId="71"/>
    <cellStyle name="Обычный 14 4" xfId="71"/>
    <cellStyle name="Обычный 15" xfId="71"/>
    <cellStyle name="Обычный 2" xfId="73"/>
    <cellStyle name="Обычный 2 10 2" xfId="74"/>
    <cellStyle name="Обычный 2 2" xfId="75"/>
    <cellStyle name="Обычный 2 3" xfId="72"/>
    <cellStyle name="Обычный 2 4" xfId="73"/>
    <cellStyle name="Обычный 2 5" xfId="74"/>
    <cellStyle name="Обычный 20" xfId="76"/>
    <cellStyle name="Обычный 21" xfId="76"/>
    <cellStyle name="Обычный 22" xfId="76"/>
    <cellStyle name="Обычный 23" xfId="76"/>
    <cellStyle name="Обычный 3" xfId="70"/>
    <cellStyle name="Обычный 3 2" xfId="73"/>
    <cellStyle name="Обычный 3 3" xfId="77"/>
    <cellStyle name="Обычный 3 4" xfId="74"/>
    <cellStyle name="Обычный 4" xfId="78"/>
    <cellStyle name="Обычный 5" xfId="73"/>
    <cellStyle name="Обычный 6" xfId="73"/>
    <cellStyle name="Обычный 7" xfId="71"/>
    <cellStyle name="Обычный_BALANCE.WARM.2007YEAR(FACT)" xfId="7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hyperlink" Target="https://portal.eias.ru/Portal/DownloadPage.aspx?type=12&amp;guid=8a5e4fef-ed56-4fff-9917-f2148b0ad418"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067EA3-4FB4-B6D3-BAD9-9195CC725FF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5648" width="5.421875" customWidth="1"/>
    <col min="2" max="2" style="15648" width="9.140625" customWidth="1"/>
    <col min="3" max="3" style="15648" width="16.421875" customWidth="1"/>
    <col min="4" max="25" style="15648" width="6.28125" customWidth="1"/>
    <col min="26" max="28" style="15648" width="11.00390625"/>
  </cols>
  <sheetData>
    <row customHeight="1" ht="15.75">
      <c r="A1" s="1927"/>
      <c r="B1" s="1928"/>
      <c r="C1" s="1928"/>
      <c r="D1" s="1928"/>
      <c r="E1" s="1928"/>
      <c r="F1" s="1928"/>
      <c r="G1" s="1928"/>
      <c r="H1" s="1928"/>
      <c r="I1" s="1928"/>
      <c r="J1" s="1928"/>
      <c r="K1" s="1928"/>
      <c r="L1" s="1928"/>
      <c r="M1" s="1928"/>
      <c r="N1" s="1928"/>
      <c r="O1" s="1928"/>
      <c r="P1" s="1928"/>
      <c r="Q1" s="1928"/>
      <c r="R1" s="1928"/>
      <c r="S1" s="1928"/>
      <c r="T1" s="1928"/>
      <c r="U1" s="1928"/>
      <c r="V1" s="1928"/>
      <c r="W1" s="1928"/>
      <c r="X1" s="1928"/>
      <c r="Y1" s="1929"/>
      <c r="Z1" s="1928"/>
      <c r="AA1" s="1930" t="s">
        <v>0</v>
      </c>
      <c r="AB1" s="1928"/>
    </row>
    <row customHeight="1" ht="17.25">
      <c r="A2" s="1928"/>
      <c r="B2" s="2223" t="s">
        <v>1</v>
      </c>
      <c r="C2" s="2223"/>
      <c r="D2" s="2223"/>
      <c r="E2" s="2223"/>
      <c r="F2" s="2223"/>
      <c r="G2" s="2223"/>
      <c r="H2" s="2223"/>
      <c r="I2" s="2223"/>
      <c r="J2" s="2223"/>
      <c r="K2" s="2223"/>
      <c r="L2" s="2223"/>
      <c r="M2" s="2223"/>
      <c r="N2" s="2223"/>
      <c r="O2" s="2223"/>
      <c r="P2" s="2223"/>
      <c r="Q2" s="1932"/>
      <c r="R2" s="1932"/>
      <c r="S2" s="1932"/>
      <c r="T2" s="1932"/>
      <c r="U2" s="1932"/>
      <c r="V2" s="1933"/>
      <c r="W2" s="1932"/>
      <c r="X2" s="1932"/>
      <c r="Y2" s="1929"/>
      <c r="Z2" s="1928"/>
      <c r="AA2" s="1930"/>
      <c r="AB2" s="1928"/>
    </row>
    <row customHeight="1" ht="15.75">
      <c r="A3" s="1928"/>
      <c r="B3" s="2224" t="s">
        <v>2</v>
      </c>
      <c r="C3" s="2224"/>
      <c r="D3" s="2224"/>
      <c r="E3" s="2224"/>
      <c r="F3" s="2224"/>
      <c r="G3" s="2224"/>
      <c r="H3" s="2224"/>
      <c r="I3" s="2224"/>
      <c r="J3" s="2224"/>
      <c r="K3" s="2224"/>
      <c r="L3" s="2224"/>
      <c r="M3" s="2224"/>
      <c r="N3" s="2224"/>
      <c r="O3" s="2224"/>
      <c r="P3" s="2224"/>
      <c r="Q3" s="1933"/>
      <c r="R3" s="1933"/>
      <c r="S3" s="1932"/>
      <c r="T3" s="1932"/>
      <c r="U3" s="1932"/>
      <c r="V3" s="1933"/>
      <c r="W3" s="1933"/>
      <c r="X3" s="1933"/>
      <c r="Y3" s="1933"/>
      <c r="Z3" s="1928"/>
      <c r="AA3" s="1930"/>
      <c r="AB3" s="1928"/>
    </row>
    <row customHeight="1" ht="17.25">
      <c r="A4" s="1928"/>
      <c r="B4" s="1934"/>
      <c r="C4" s="1928"/>
      <c r="D4" s="1933"/>
      <c r="E4" s="1933"/>
      <c r="F4" s="1933"/>
      <c r="G4" s="1933"/>
      <c r="H4" s="1933"/>
      <c r="I4" s="1933"/>
      <c r="J4" s="1933"/>
      <c r="K4" s="1933"/>
      <c r="L4" s="1933"/>
      <c r="M4" s="1933"/>
      <c r="N4" s="1933"/>
      <c r="O4" s="1933"/>
      <c r="P4" s="1933"/>
      <c r="Q4" s="1933"/>
      <c r="R4" s="1933"/>
      <c r="S4" s="1933"/>
      <c r="T4" s="1933"/>
      <c r="U4" s="1933"/>
      <c r="V4" s="1933"/>
      <c r="W4" s="1933"/>
      <c r="X4" s="1933"/>
      <c r="Y4" s="1933"/>
      <c r="Z4" s="1928"/>
      <c r="AA4" s="1930"/>
      <c r="AB4" s="1928"/>
    </row>
    <row customHeight="1" ht="22.5">
      <c r="A5" s="1935"/>
      <c r="B5" s="222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26"/>
      <c r="D5" s="2226"/>
      <c r="E5" s="2226"/>
      <c r="F5" s="2226"/>
      <c r="G5" s="2226"/>
      <c r="H5" s="2226"/>
      <c r="I5" s="2226"/>
      <c r="J5" s="2226"/>
      <c r="K5" s="2226"/>
      <c r="L5" s="2226"/>
      <c r="M5" s="2226"/>
      <c r="N5" s="2226"/>
      <c r="O5" s="2226"/>
      <c r="P5" s="2226"/>
      <c r="Q5" s="2226"/>
      <c r="R5" s="2226"/>
      <c r="S5" s="2226"/>
      <c r="T5" s="2226"/>
      <c r="U5" s="2226"/>
      <c r="V5" s="2226"/>
      <c r="W5" s="2226"/>
      <c r="X5" s="2226"/>
      <c r="Y5" s="2227"/>
      <c r="Z5" s="1935"/>
      <c r="AA5" s="1930"/>
      <c r="AB5" s="1935"/>
    </row>
    <row customHeight="1" ht="15">
      <c r="A6" s="1936"/>
      <c r="B6" s="2215" t="s">
        <v>3</v>
      </c>
      <c r="C6" s="2218"/>
      <c r="D6" s="1937"/>
      <c r="E6" s="1937"/>
      <c r="F6" s="1937"/>
      <c r="G6" s="1937"/>
      <c r="H6" s="1937"/>
      <c r="I6" s="1937"/>
      <c r="J6" s="1937"/>
      <c r="K6" s="1937"/>
      <c r="L6" s="1937"/>
      <c r="M6" s="1937"/>
      <c r="N6" s="1937"/>
      <c r="O6" s="1937"/>
      <c r="P6" s="1937"/>
      <c r="Q6" s="1937"/>
      <c r="R6" s="1937"/>
      <c r="S6" s="1937"/>
      <c r="T6" s="1937"/>
      <c r="U6" s="1937"/>
      <c r="V6" s="1937"/>
      <c r="W6" s="1937"/>
      <c r="X6" s="1937"/>
      <c r="Y6" s="1938"/>
      <c r="Z6" s="1939"/>
      <c r="AA6" s="1940"/>
      <c r="AB6" s="1940"/>
    </row>
    <row customHeight="1" ht="15">
      <c r="A7" s="1936"/>
      <c r="B7" s="2215"/>
      <c r="C7" s="2218"/>
      <c r="D7" s="1937"/>
      <c r="E7" s="1937"/>
      <c r="F7" s="1941"/>
      <c r="G7" s="1941"/>
      <c r="H7" s="1941"/>
      <c r="I7" s="1941"/>
      <c r="J7" s="1941"/>
      <c r="K7" s="1941"/>
      <c r="L7" s="1941"/>
      <c r="M7" s="1941"/>
      <c r="N7" s="1941"/>
      <c r="O7" s="1937"/>
      <c r="P7" s="1941"/>
      <c r="Q7" s="1941"/>
      <c r="R7" s="1941"/>
      <c r="S7" s="1941"/>
      <c r="T7" s="1941"/>
      <c r="U7" s="1941"/>
      <c r="V7" s="1941"/>
      <c r="W7" s="1941"/>
      <c r="X7" s="1941"/>
      <c r="Y7" s="1938"/>
      <c r="Z7" s="1939"/>
      <c r="AA7" s="1940"/>
      <c r="AB7" s="1940"/>
    </row>
    <row customHeight="1" ht="15">
      <c r="A8" s="1936"/>
      <c r="B8" s="2215"/>
      <c r="C8" s="2218"/>
      <c r="D8" s="1942"/>
      <c r="E8" s="1943" t="s">
        <v>4</v>
      </c>
      <c r="F8" s="2228" t="s">
        <v>5</v>
      </c>
      <c r="G8" s="2217"/>
      <c r="H8" s="2217"/>
      <c r="I8" s="2217"/>
      <c r="J8" s="2217"/>
      <c r="K8" s="2217"/>
      <c r="L8" s="2217"/>
      <c r="M8" s="2217"/>
      <c r="N8" s="1942"/>
      <c r="O8" s="1944" t="s">
        <v>4</v>
      </c>
      <c r="P8" s="2229" t="s">
        <v>6</v>
      </c>
      <c r="Q8" s="2230"/>
      <c r="R8" s="2230"/>
      <c r="S8" s="2230"/>
      <c r="T8" s="2230"/>
      <c r="U8" s="2230"/>
      <c r="V8" s="2230"/>
      <c r="W8" s="2230"/>
      <c r="X8" s="2230"/>
      <c r="Y8" s="1938"/>
      <c r="Z8" s="1939"/>
      <c r="AA8" s="1940"/>
      <c r="AB8" s="1940"/>
    </row>
    <row customHeight="1" ht="15">
      <c r="A9" s="1936"/>
      <c r="B9" s="2215"/>
      <c r="C9" s="2218"/>
      <c r="D9" s="1942"/>
      <c r="E9" s="1945" t="s">
        <v>4</v>
      </c>
      <c r="F9" s="2228" t="s">
        <v>7</v>
      </c>
      <c r="G9" s="2217"/>
      <c r="H9" s="2217"/>
      <c r="I9" s="2217"/>
      <c r="J9" s="2217"/>
      <c r="K9" s="2217"/>
      <c r="L9" s="2217"/>
      <c r="M9" s="2217"/>
      <c r="N9" s="1942"/>
      <c r="O9" s="1946" t="s">
        <v>4</v>
      </c>
      <c r="P9" s="2229" t="s">
        <v>8</v>
      </c>
      <c r="Q9" s="2230"/>
      <c r="R9" s="2230"/>
      <c r="S9" s="2230"/>
      <c r="T9" s="2230"/>
      <c r="U9" s="2230"/>
      <c r="V9" s="2230"/>
      <c r="W9" s="2230"/>
      <c r="X9" s="2230"/>
      <c r="Y9" s="1938"/>
      <c r="Z9" s="1939"/>
      <c r="AA9" s="1940"/>
      <c r="AB9" s="1940"/>
    </row>
    <row customHeight="1" ht="30">
      <c r="A10" s="1936"/>
      <c r="B10" s="2215"/>
      <c r="C10" s="2216"/>
      <c r="D10" s="1947"/>
      <c r="E10" s="1948"/>
      <c r="F10" s="1941"/>
      <c r="G10" s="1941"/>
      <c r="H10" s="1941"/>
      <c r="I10" s="1941"/>
      <c r="J10" s="1941"/>
      <c r="K10" s="1941"/>
      <c r="L10" s="1941"/>
      <c r="M10" s="1941"/>
      <c r="N10" s="1941"/>
      <c r="O10" s="1948"/>
      <c r="P10" s="1941"/>
      <c r="Q10" s="1941"/>
      <c r="R10" s="1941"/>
      <c r="S10" s="1941"/>
      <c r="T10" s="1941"/>
      <c r="U10" s="1941"/>
      <c r="V10" s="1941"/>
      <c r="W10" s="1941"/>
      <c r="X10" s="1941"/>
      <c r="Y10" s="1938"/>
      <c r="Z10" s="1939"/>
      <c r="AA10" s="1940"/>
      <c r="AB10" s="1940"/>
    </row>
    <row customHeight="1" ht="19.5">
      <c r="A11" s="1936"/>
      <c r="B11" s="2213" t="s">
        <v>9</v>
      </c>
      <c r="C11" s="2214"/>
      <c r="D11" s="1942"/>
      <c r="E11" s="1949"/>
      <c r="F11" s="1949"/>
      <c r="G11" s="1949"/>
      <c r="H11" s="1949"/>
      <c r="I11" s="1949"/>
      <c r="J11" s="1949"/>
      <c r="K11" s="1949"/>
      <c r="L11" s="1949"/>
      <c r="M11" s="1949"/>
      <c r="N11" s="1949"/>
      <c r="O11" s="1949"/>
      <c r="P11" s="1949"/>
      <c r="Q11" s="1949"/>
      <c r="R11" s="1949"/>
      <c r="S11" s="1949"/>
      <c r="T11" s="1949"/>
      <c r="U11" s="1949"/>
      <c r="V11" s="1949"/>
      <c r="W11" s="1949"/>
      <c r="X11" s="1949"/>
      <c r="Y11" s="1938"/>
      <c r="Z11" s="1939"/>
      <c r="AA11" s="1940"/>
      <c r="AB11" s="1940"/>
    </row>
    <row customHeight="1" ht="69">
      <c r="A12" s="1936"/>
      <c r="B12" s="2215"/>
      <c r="C12" s="2216"/>
      <c r="D12" s="1950"/>
      <c r="E12" s="2217" t="s">
        <v>10</v>
      </c>
      <c r="F12" s="2217"/>
      <c r="G12" s="2217"/>
      <c r="H12" s="2217"/>
      <c r="I12" s="2217"/>
      <c r="J12" s="2217"/>
      <c r="K12" s="2217"/>
      <c r="L12" s="2217"/>
      <c r="M12" s="2217"/>
      <c r="N12" s="2217"/>
      <c r="O12" s="2217"/>
      <c r="P12" s="2217"/>
      <c r="Q12" s="2217"/>
      <c r="R12" s="2217"/>
      <c r="S12" s="2217"/>
      <c r="T12" s="2217"/>
      <c r="U12" s="2217"/>
      <c r="V12" s="2217"/>
      <c r="W12" s="2217"/>
      <c r="X12" s="2217"/>
      <c r="Y12" s="1938"/>
      <c r="Z12" s="1939"/>
      <c r="AA12" s="1940"/>
      <c r="AB12" s="1940"/>
    </row>
    <row customHeight="1" ht="15">
      <c r="A13" s="1936"/>
      <c r="B13" s="2213" t="s">
        <v>11</v>
      </c>
      <c r="C13" s="2214"/>
      <c r="D13" s="1937"/>
      <c r="E13" s="1949"/>
      <c r="F13" s="1949"/>
      <c r="G13" s="1949"/>
      <c r="H13" s="1949"/>
      <c r="I13" s="1949"/>
      <c r="J13" s="1949"/>
      <c r="K13" s="1949"/>
      <c r="L13" s="1949"/>
      <c r="M13" s="1949"/>
      <c r="N13" s="1949"/>
      <c r="O13" s="1949"/>
      <c r="P13" s="1949"/>
      <c r="Q13" s="1949"/>
      <c r="R13" s="1949"/>
      <c r="S13" s="1949"/>
      <c r="T13" s="1949"/>
      <c r="U13" s="1949"/>
      <c r="V13" s="1949"/>
      <c r="W13" s="1949"/>
      <c r="X13" s="1949"/>
      <c r="Y13" s="1938"/>
      <c r="Z13" s="1939"/>
      <c r="AA13" s="1940"/>
      <c r="AB13" s="1940"/>
    </row>
    <row customHeight="1" ht="57">
      <c r="A14" s="1936"/>
      <c r="B14" s="2215"/>
      <c r="C14" s="2218"/>
      <c r="D14" s="1942"/>
      <c r="E14" s="2221" t="s">
        <v>12</v>
      </c>
      <c r="F14" s="2221"/>
      <c r="G14" s="2221"/>
      <c r="H14" s="2221"/>
      <c r="I14" s="2221"/>
      <c r="J14" s="2221"/>
      <c r="K14" s="2221"/>
      <c r="L14" s="2221"/>
      <c r="M14" s="2221"/>
      <c r="N14" s="2221"/>
      <c r="O14" s="2221"/>
      <c r="P14" s="2221"/>
      <c r="Q14" s="2221"/>
      <c r="R14" s="2221"/>
      <c r="S14" s="2221"/>
      <c r="T14" s="2221"/>
      <c r="U14" s="2221"/>
      <c r="V14" s="2221"/>
      <c r="W14" s="2221"/>
      <c r="X14" s="2221"/>
      <c r="Y14" s="1938"/>
      <c r="Z14" s="1939"/>
      <c r="AA14" s="1940"/>
      <c r="AB14" s="1940"/>
    </row>
    <row customHeight="1" ht="16.5">
      <c r="A15" s="1936"/>
      <c r="B15" s="2219"/>
      <c r="C15" s="2220"/>
      <c r="D15" s="1951"/>
      <c r="E15" s="1952"/>
      <c r="F15" s="1952"/>
      <c r="G15" s="1952"/>
      <c r="H15" s="1952"/>
      <c r="I15" s="1952"/>
      <c r="J15" s="1952"/>
      <c r="K15" s="1952"/>
      <c r="L15" s="1952"/>
      <c r="M15" s="1952"/>
      <c r="N15" s="1952"/>
      <c r="O15" s="1952"/>
      <c r="P15" s="1952"/>
      <c r="Q15" s="1952"/>
      <c r="R15" s="1952"/>
      <c r="S15" s="1952"/>
      <c r="T15" s="1952"/>
      <c r="U15" s="1952"/>
      <c r="V15" s="1952"/>
      <c r="W15" s="1952"/>
      <c r="X15" s="1952"/>
      <c r="Y15" s="1953"/>
      <c r="Z15" s="1939"/>
      <c r="AA15" s="1954"/>
      <c r="AB15" s="1940"/>
    </row>
    <row customHeight="1" ht="95.25">
      <c r="A16" s="1928"/>
      <c r="B16" s="2221"/>
      <c r="C16" s="2222"/>
      <c r="D16" s="2222"/>
      <c r="E16" s="2222"/>
      <c r="F16" s="2222"/>
      <c r="G16" s="2222"/>
      <c r="H16" s="2222"/>
      <c r="I16" s="2222"/>
      <c r="J16" s="2222"/>
      <c r="K16" s="2222"/>
      <c r="L16" s="2222"/>
      <c r="M16" s="2222"/>
      <c r="N16" s="2222"/>
      <c r="O16" s="2222"/>
      <c r="P16" s="2222"/>
      <c r="Q16" s="2222"/>
      <c r="R16" s="2222"/>
      <c r="S16" s="2222"/>
      <c r="T16" s="2222"/>
      <c r="U16" s="2222"/>
      <c r="V16" s="2222"/>
      <c r="W16" s="2222"/>
      <c r="X16" s="2222"/>
      <c r="Y16" s="2222"/>
      <c r="Z16" s="1928"/>
      <c r="AA16" s="1930"/>
      <c r="AB16" s="1928"/>
    </row>
    <row customHeight="1" ht="14.25">
      <c r="A17" s="1928"/>
      <c r="B17" s="1928"/>
      <c r="C17" s="1928"/>
      <c r="D17" s="1928"/>
      <c r="E17" s="1928"/>
      <c r="F17" s="1928"/>
      <c r="G17" s="1928"/>
      <c r="H17" s="1928"/>
      <c r="I17" s="1928"/>
      <c r="J17" s="1928"/>
      <c r="K17" s="1928"/>
      <c r="L17" s="1928"/>
      <c r="M17" s="1928"/>
      <c r="N17" s="1928"/>
      <c r="O17" s="1928"/>
      <c r="P17" s="1928"/>
      <c r="Q17" s="1928"/>
      <c r="R17" s="1928"/>
      <c r="S17" s="1928"/>
      <c r="T17" s="1928"/>
      <c r="U17" s="1928"/>
      <c r="V17" s="1928"/>
      <c r="W17" s="1928"/>
      <c r="X17" s="1928"/>
      <c r="Y17" s="1929"/>
      <c r="Z17" s="1928"/>
      <c r="AA17" s="1930"/>
      <c r="AB17" s="1928"/>
    </row>
    <row customHeight="1" ht="14.25">
      <c r="A18" s="1928"/>
      <c r="B18" s="1928"/>
      <c r="C18" s="1928"/>
      <c r="D18" s="1928"/>
      <c r="E18" s="1928"/>
      <c r="F18" s="1928"/>
      <c r="G18" s="1928"/>
      <c r="H18" s="1928"/>
      <c r="I18" s="1928"/>
      <c r="J18" s="1928"/>
      <c r="K18" s="1928"/>
      <c r="L18" s="1928"/>
      <c r="M18" s="1928"/>
      <c r="N18" s="1928"/>
      <c r="O18" s="1928"/>
      <c r="P18" s="1928"/>
      <c r="Q18" s="1928"/>
      <c r="R18" s="1928"/>
      <c r="S18" s="1928"/>
      <c r="T18" s="1928"/>
      <c r="U18" s="1928"/>
      <c r="V18" s="1928"/>
      <c r="W18" s="1928"/>
      <c r="X18" s="1928"/>
      <c r="Y18" s="1929"/>
      <c r="Z18" s="1928"/>
      <c r="AA18" s="1930"/>
      <c r="AB18" s="1928"/>
    </row>
    <row customHeight="1" ht="14.25">
      <c r="A19" s="1928"/>
      <c r="B19" s="1928"/>
      <c r="C19" s="1928"/>
      <c r="D19" s="1928"/>
      <c r="E19" s="1928"/>
      <c r="F19" s="1928"/>
      <c r="G19" s="1928"/>
      <c r="H19" s="1928"/>
      <c r="I19" s="1928"/>
      <c r="J19" s="1928"/>
      <c r="K19" s="1928"/>
      <c r="L19" s="1928"/>
      <c r="M19" s="1928"/>
      <c r="N19" s="1928"/>
      <c r="O19" s="1928"/>
      <c r="P19" s="1928"/>
      <c r="Q19" s="1928"/>
      <c r="R19" s="1928"/>
      <c r="S19" s="1928"/>
      <c r="T19" s="1928"/>
      <c r="U19" s="1928"/>
      <c r="V19" s="1928"/>
      <c r="W19" s="1928"/>
      <c r="X19" s="1928"/>
      <c r="Y19" s="1929"/>
      <c r="Z19" s="1928"/>
      <c r="AA19" s="1930"/>
      <c r="AB19" s="1928"/>
    </row>
    <row customHeight="1" ht="14.25">
      <c r="A20" s="1928"/>
      <c r="B20" s="1928"/>
      <c r="C20" s="1928"/>
      <c r="D20" s="1928"/>
      <c r="E20" s="1928"/>
      <c r="F20" s="1928"/>
      <c r="G20" s="1928"/>
      <c r="H20" s="1928"/>
      <c r="I20" s="1928"/>
      <c r="J20" s="1928"/>
      <c r="K20" s="1928"/>
      <c r="L20" s="1928"/>
      <c r="M20" s="1928"/>
      <c r="N20" s="1928"/>
      <c r="O20" s="1928"/>
      <c r="P20" s="1928"/>
      <c r="Q20" s="1928"/>
      <c r="R20" s="1928"/>
      <c r="S20" s="1928"/>
      <c r="T20" s="1928"/>
      <c r="U20" s="1928"/>
      <c r="V20" s="1928"/>
      <c r="W20" s="1928"/>
      <c r="X20" s="1928"/>
      <c r="Y20" s="1929"/>
      <c r="Z20" s="1928"/>
      <c r="AA20" s="1930"/>
      <c r="AB20" s="1928"/>
    </row>
    <row customHeight="1" ht="14.25">
      <c r="A21" s="1928"/>
      <c r="B21" s="1928"/>
      <c r="C21" s="1928"/>
      <c r="D21" s="1928"/>
      <c r="E21" s="1928"/>
      <c r="F21" s="1928"/>
      <c r="G21" s="1928"/>
      <c r="H21" s="1928"/>
      <c r="I21" s="1928"/>
      <c r="J21" s="1928"/>
      <c r="K21" s="1928"/>
      <c r="L21" s="1928"/>
      <c r="M21" s="1928"/>
      <c r="N21" s="1928"/>
      <c r="O21" s="1928"/>
      <c r="P21" s="1928"/>
      <c r="Q21" s="1928"/>
      <c r="R21" s="1928"/>
      <c r="S21" s="1928"/>
      <c r="T21" s="1928"/>
      <c r="U21" s="1928"/>
      <c r="V21" s="1928"/>
      <c r="W21" s="1928"/>
      <c r="X21" s="1928"/>
      <c r="Y21" s="1929"/>
      <c r="Z21" s="1928"/>
      <c r="AA21" s="1930"/>
      <c r="AB21" s="1928"/>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8607258-8AFB-A9C1-8C37-D1BC75B84CB6}" mc:Ignorable="x14ac xr xr2 xr3">
  <sheetPr>
    <tabColor rgb="FFCCCCFF"/>
  </sheetPr>
  <dimension ref="A1:P78"/>
  <sheetViews>
    <sheetView topLeftCell="A1" showGridLines="0" zoomScale="90" workbookViewId="0">
      <selection activeCell="I17" sqref="I17"/>
    </sheetView>
  </sheetViews>
  <sheetFormatPr defaultColWidth="9.140625" customHeight="1" defaultRowHeight="11.25"/>
  <cols>
    <col min="1" max="1" style="15761" width="10.7109375" hidden="1" customWidth="1"/>
    <col min="2" max="2" style="15762" width="10.7109375" hidden="1" customWidth="1"/>
    <col min="3" max="3" style="15763" width="3.7109375" customWidth="1"/>
    <col min="4" max="4" style="15764" width="1.7109375" customWidth="1"/>
    <col min="5" max="5" style="15764" width="55.28125" customWidth="1"/>
    <col min="6" max="6" style="15764" width="55.00390625" customWidth="1"/>
    <col min="7" max="7" style="15765" width="1.7109375" customWidth="1"/>
    <col min="8" max="8" style="15690" width="18.00390625" hidden="1" customWidth="1"/>
    <col min="9" max="9" style="15766" width="59.7109375" customWidth="1"/>
    <col min="10" max="10" style="15767" width="52.140625" hidden="1" customWidth="1"/>
    <col min="11" max="11" style="15764" width="9.140625"/>
    <col min="12" max="12" style="15764" width="78.00390625" customWidth="1"/>
    <col min="13" max="16" style="15764" width="9.140625"/>
  </cols>
  <sheetData>
    <row s="15649" customFormat="1" customHeight="1" ht="3">
      <c r="A1" s="1005"/>
      <c r="B1" s="463"/>
      <c r="F1" s="464">
        <v>26354809</v>
      </c>
      <c r="G1" s="633"/>
      <c r="H1" s="293"/>
      <c r="I1" s="633"/>
      <c r="J1" s="1093"/>
    </row>
    <row s="15656" customFormat="1" customHeight="1" ht="14.25">
      <c r="A2" s="1005"/>
      <c r="B2" s="321"/>
      <c r="E2" s="1967" t="str">
        <f>code</f>
        <v>Код отчёта: PP108.OPEN.INFO.REQUEST.HOTVSNA.EIAS</v>
      </c>
      <c r="F2" s="491"/>
      <c r="G2" s="467"/>
      <c r="H2" s="467"/>
      <c r="I2" s="467"/>
      <c r="J2" s="1094"/>
      <c r="K2" s="467"/>
    </row>
    <row customHeight="1" ht="14.25">
      <c r="E3" s="468" t="str">
        <f>version</f>
        <v>Версия отчёта: 1.0.7</v>
      </c>
      <c r="F3" s="491"/>
      <c r="G3" s="992"/>
      <c r="H3" s="992"/>
      <c r="I3" s="992"/>
      <c r="J3" s="1095"/>
      <c r="K3" s="310"/>
    </row>
    <row s="15666" customFormat="1" customHeight="1" ht="6">
      <c r="A4" s="1006"/>
      <c r="B4" s="454"/>
      <c r="C4" s="455"/>
      <c r="D4" s="456"/>
      <c r="E4" s="465"/>
      <c r="F4" s="466"/>
      <c r="G4" s="993"/>
      <c r="H4" s="631"/>
      <c r="I4" s="633"/>
      <c r="J4" s="1096"/>
    </row>
    <row customHeight="1" ht="37.5">
      <c r="D5" s="297"/>
      <c r="E5" s="2231"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32"/>
      <c r="G5" s="994"/>
      <c r="J5" s="1097"/>
    </row>
    <row s="15666" customFormat="1" customHeight="1" ht="6">
      <c r="A6" s="1006"/>
      <c r="B6" s="454"/>
      <c r="C6" s="455"/>
      <c r="D6" s="456"/>
      <c r="E6" s="459"/>
      <c r="F6" s="460"/>
      <c r="G6" s="994"/>
      <c r="H6" s="631"/>
      <c r="I6" s="633"/>
      <c r="J6" s="1096"/>
    </row>
    <row customHeight="1" ht="19.5">
      <c r="D7" s="297"/>
      <c r="E7" s="613" t="s">
        <v>13</v>
      </c>
      <c r="F7" s="437" t="s">
        <v>14</v>
      </c>
      <c r="G7" s="994"/>
    </row>
    <row s="15666" customFormat="1" customHeight="1" ht="6">
      <c r="A8" s="1007"/>
      <c r="B8" s="454"/>
      <c r="C8" s="455"/>
      <c r="D8" s="461"/>
      <c r="E8" s="459"/>
      <c r="F8" s="462"/>
      <c r="G8" s="299"/>
      <c r="H8" s="631"/>
      <c r="I8" s="633"/>
      <c r="J8" s="1099"/>
    </row>
    <row s="15690" customFormat="1" customHeight="1" ht="19.5" hidden="1">
      <c r="A9" s="1006"/>
      <c r="B9" s="321"/>
      <c r="C9" s="630"/>
      <c r="D9" s="632"/>
      <c r="E9" s="1389" t="s">
        <v>15</v>
      </c>
      <c r="F9" s="2149"/>
      <c r="G9" s="994"/>
      <c r="I9" s="2128" t="str">
        <f>IF(TITLE_STRUCTURE_INFO_ROIV="","","раскрывается "&amp;INDEX(ROIV_INFO_COMMENT,MATCH(TITLE_STRUCTURE_INFO_ROIV,ROIV_INFO_LIST,0)))</f>
        <v/>
      </c>
      <c r="J9" s="1098"/>
    </row>
    <row s="15697" customFormat="1" customHeight="1" ht="6">
      <c r="A10" s="1007"/>
      <c r="B10" s="648"/>
      <c r="C10" s="649"/>
      <c r="D10" s="461"/>
      <c r="E10" s="459"/>
      <c r="F10" s="462"/>
      <c r="G10" s="299"/>
      <c r="H10" s="631"/>
      <c r="I10" s="633"/>
      <c r="J10" s="1099"/>
    </row>
    <row customHeight="1" ht="22.5">
      <c r="A11" s="2234" t="s">
        <v>16</v>
      </c>
      <c r="D11" s="297"/>
      <c r="E11" s="1389" t="s">
        <v>17</v>
      </c>
      <c r="F11" s="8283">
        <v>45658.58773148148</v>
      </c>
      <c r="G11" s="299"/>
      <c r="H11" s="995" t="s">
        <v>18</v>
      </c>
      <c r="J11" s="1098" t="s">
        <v>19</v>
      </c>
    </row>
    <row customHeight="1" ht="22.5">
      <c r="A12" s="2234"/>
      <c r="D12" s="297"/>
      <c r="E12" s="1389" t="s">
        <v>20</v>
      </c>
      <c r="F12" s="8283">
        <v>47118.5878125</v>
      </c>
      <c r="G12" s="295"/>
      <c r="J12" s="1098" t="s">
        <v>21</v>
      </c>
    </row>
    <row s="15690" customFormat="1" customHeight="1" ht="22.5" hidden="1">
      <c r="A13" s="1010" t="s">
        <v>22</v>
      </c>
      <c r="B13" s="321"/>
      <c r="C13" s="630"/>
      <c r="D13" s="632"/>
      <c r="E13" s="2002" t="s">
        <v>23</v>
      </c>
      <c r="F13" s="1959" t="s">
        <v>24</v>
      </c>
      <c r="G13" s="299"/>
      <c r="H13" s="992"/>
      <c r="I13" s="633"/>
      <c r="J13" s="2003" t="s">
        <v>25</v>
      </c>
    </row>
    <row s="15690" customFormat="1" customHeight="1" ht="27" hidden="1">
      <c r="A14" s="1010" t="s">
        <v>26</v>
      </c>
      <c r="B14" s="321"/>
      <c r="C14" s="630"/>
      <c r="D14" s="632"/>
      <c r="E14" s="1389" t="s">
        <v>27</v>
      </c>
      <c r="F14" s="1994"/>
      <c r="G14" s="299"/>
      <c r="H14" s="992"/>
      <c r="I14" s="633"/>
      <c r="J14" s="1098" t="s">
        <v>28</v>
      </c>
    </row>
    <row s="15690" customFormat="1" customHeight="1" ht="19.5" hidden="1">
      <c r="A15" s="1010" t="s">
        <v>29</v>
      </c>
      <c r="B15" s="321"/>
      <c r="C15" s="630"/>
      <c r="D15" s="632"/>
      <c r="E15" s="1389" t="s">
        <v>30</v>
      </c>
      <c r="F15" s="1994"/>
      <c r="G15" s="299"/>
      <c r="H15" s="992"/>
      <c r="I15" s="633"/>
      <c r="J15" s="1098" t="s">
        <v>31</v>
      </c>
    </row>
    <row s="15666" customFormat="1" customHeight="1" ht="6">
      <c r="A16" s="1007"/>
      <c r="B16" s="454"/>
      <c r="C16" s="455"/>
      <c r="D16" s="461"/>
      <c r="E16" s="459"/>
      <c r="F16" s="462"/>
      <c r="G16" s="299"/>
      <c r="H16" s="631"/>
      <c r="I16" s="633"/>
      <c r="J16" s="1096"/>
    </row>
    <row customHeight="1" ht="19.5">
      <c r="D17" s="297"/>
      <c r="E17" s="613" t="s">
        <v>32</v>
      </c>
      <c r="F17" s="8291" t="s">
        <v>33</v>
      </c>
      <c r="G17" s="295"/>
      <c r="H17" s="995" t="s">
        <v>18</v>
      </c>
    </row>
    <row customHeight="1" ht="25.5">
      <c r="D18" s="297"/>
      <c r="E18" s="2002" t="s">
        <v>34</v>
      </c>
      <c r="F18" s="8292">
        <v>45407.47190972222</v>
      </c>
      <c r="G18" s="295"/>
      <c r="I18" s="996"/>
      <c r="J18" s="2233" t="s">
        <v>35</v>
      </c>
    </row>
    <row customHeight="1" ht="25.5">
      <c r="D19" s="297"/>
      <c r="E19" s="138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8292">
        <v>45658.471608796295</v>
      </c>
      <c r="G19" s="295"/>
      <c r="I19" s="996"/>
      <c r="J19" s="2233"/>
    </row>
    <row customHeight="1" ht="22.5">
      <c r="D20" s="297"/>
      <c r="E20" s="298"/>
      <c r="F20" s="492" t="str">
        <f>"Первичное "&amp;IF(TEMPLATE_GROUP="P","установление тарифов","предложение по тарифам")</f>
        <v>Первичное предложение по тарифам</v>
      </c>
      <c r="G20" s="295"/>
      <c r="I20" s="616"/>
      <c r="J20" s="1097" t="s">
        <v>36</v>
      </c>
    </row>
    <row customHeight="1" ht="19.5">
      <c r="D21" s="297"/>
      <c r="E21" s="613" t="str">
        <f>"Дата "&amp;IF(TEMPLATE_GROUP="P","документа","подачи заявления")&amp;" об утверждении тарифов"</f>
        <v>Дата подачи заявления об утверждении тарифов</v>
      </c>
      <c r="F21" s="8283">
        <v>45044.58814814815</v>
      </c>
      <c r="G21" s="295"/>
      <c r="I21" s="997"/>
    </row>
    <row customHeight="1" ht="19.5">
      <c r="D22" s="297"/>
      <c r="E22" s="613" t="str">
        <f>"Номер "&amp;IF(TEMPLATE_GROUP="P","документа","подачи заявления")&amp;" об утверждении тарифов"</f>
        <v>Номер подачи заявления об утверждении тарифов</v>
      </c>
      <c r="F22" s="438" t="s">
        <v>37</v>
      </c>
      <c r="G22" s="295"/>
      <c r="I22" s="997"/>
    </row>
    <row customHeight="1" ht="22.5" hidden="1">
      <c r="D23" s="297"/>
      <c r="E23" s="613" t="s">
        <v>38</v>
      </c>
      <c r="F23" s="438"/>
      <c r="G23" s="295"/>
    </row>
    <row customHeight="1" ht="19.5" hidden="1">
      <c r="D24" s="297"/>
      <c r="E24" s="613" t="s">
        <v>39</v>
      </c>
      <c r="F24" s="438"/>
      <c r="G24" s="295"/>
    </row>
    <row customHeight="1" ht="22.5">
      <c r="D25" s="297"/>
      <c r="E25" s="298"/>
      <c r="F25" s="492" t="str">
        <f>"Изменение "&amp;IF(TEMPLATE_GROUP="P","тарифов","предложения по тарифам")</f>
        <v>Изменение предложения по тарифам</v>
      </c>
      <c r="G25" s="295"/>
      <c r="J25" s="1097" t="s">
        <v>40</v>
      </c>
    </row>
    <row customHeight="1" ht="19.5">
      <c r="D26" s="297"/>
      <c r="E26" s="613" t="str">
        <f>"Дата "&amp;IF(TEMPLATE_GROUP="P","принятия решения","подачи заявления")&amp;" об изменении тарифов"</f>
        <v>Дата подачи заявления об изменении тарифов</v>
      </c>
      <c r="F26" s="8292">
        <v>45407.47206018519</v>
      </c>
      <c r="G26" s="295"/>
    </row>
    <row customHeight="1" ht="19.5">
      <c r="D27" s="297"/>
      <c r="E27" s="1389" t="str">
        <f>"Номер "&amp;IF(TEMPLATE_GROUP="P","принятия решения","заявления")&amp;" об изменении тарифов"</f>
        <v>Номер заявления об изменении тарифов</v>
      </c>
      <c r="F27" s="8300" t="s">
        <v>41</v>
      </c>
      <c r="G27" s="295"/>
    </row>
    <row customHeight="1" ht="24.75" hidden="1">
      <c r="D28" s="297"/>
      <c r="E28" s="613" t="s">
        <v>42</v>
      </c>
      <c r="F28" s="440"/>
      <c r="G28" s="295"/>
    </row>
    <row customHeight="1" ht="19.5" hidden="1">
      <c r="D29" s="297"/>
      <c r="E29" s="613" t="s">
        <v>39</v>
      </c>
      <c r="F29" s="440"/>
      <c r="G29" s="295"/>
    </row>
    <row s="15666" customFormat="1" customHeight="1" ht="6">
      <c r="A30" s="1007"/>
      <c r="B30" s="454"/>
      <c r="C30" s="455"/>
      <c r="D30" s="461"/>
      <c r="E30" s="459"/>
      <c r="F30" s="462"/>
      <c r="G30" s="299"/>
      <c r="H30" s="631"/>
      <c r="I30" s="633"/>
      <c r="J30" s="1096"/>
    </row>
    <row customHeight="1" ht="19.5">
      <c r="C31" s="300"/>
      <c r="D31" s="301"/>
      <c r="E31" s="613" t="str">
        <f>"Наименование "&amp;IF(TEMPLATE_GROUP="ROIV","органа тарифного регулирования","ЮЛ / ИП")</f>
        <v>Наименование ЮЛ / ИП</v>
      </c>
      <c r="F31" s="439" t="s">
        <v>43</v>
      </c>
      <c r="G31" s="998"/>
    </row>
    <row customHeight="1" ht="19.5" hidden="1">
      <c r="C32" s="300"/>
      <c r="D32" s="301"/>
      <c r="E32" s="614" t="s">
        <v>44</v>
      </c>
      <c r="F32" s="439"/>
      <c r="G32" s="998"/>
    </row>
    <row customHeight="1" ht="19.5">
      <c r="C33" s="300"/>
      <c r="D33" s="301"/>
      <c r="E33" s="613" t="s">
        <v>45</v>
      </c>
      <c r="F33" s="439" t="s">
        <v>46</v>
      </c>
      <c r="G33" s="998"/>
    </row>
    <row customHeight="1" ht="19.5">
      <c r="C34" s="300"/>
      <c r="D34" s="301"/>
      <c r="E34" s="613" t="s">
        <v>47</v>
      </c>
      <c r="F34" s="439" t="s">
        <v>48</v>
      </c>
      <c r="G34" s="998"/>
      <c r="H34" s="302"/>
    </row>
    <row s="15666" customFormat="1" customHeight="1" ht="11.25">
      <c r="A35" s="1007"/>
      <c r="B35" s="454"/>
      <c r="C35" s="455"/>
      <c r="D35" s="461"/>
      <c r="E35" s="459"/>
      <c r="F35" s="462"/>
      <c r="G35" s="299"/>
      <c r="H35" s="631"/>
      <c r="I35" s="633"/>
      <c r="J35" s="1096"/>
    </row>
    <row customHeight="1" ht="19.5" hidden="1">
      <c r="A36" s="1101"/>
      <c r="D36" s="301"/>
      <c r="E36" s="613" t="s">
        <v>49</v>
      </c>
      <c r="F36" s="570"/>
      <c r="G36" s="299"/>
    </row>
    <row customHeight="1" ht="19.5">
      <c r="A37" s="1101"/>
      <c r="D37" s="301"/>
      <c r="E37" s="613" t="s">
        <v>50</v>
      </c>
      <c r="F37" s="5298" t="s">
        <v>51</v>
      </c>
      <c r="G37" s="299"/>
    </row>
    <row s="15666" customFormat="1" customHeight="1" ht="6">
      <c r="A38" s="1007"/>
      <c r="B38" s="454"/>
      <c r="C38" s="455"/>
      <c r="D38" s="456"/>
      <c r="E38" s="457"/>
      <c r="F38" s="1276"/>
      <c r="G38" s="295"/>
      <c r="H38" s="631"/>
      <c r="I38" s="633"/>
      <c r="J38" s="1098"/>
    </row>
    <row customHeight="1" ht="35.25">
      <c r="A39" s="1007"/>
      <c r="D39" s="297"/>
      <c r="E39" s="613" t="s">
        <v>52</v>
      </c>
      <c r="F39" s="932" t="s">
        <v>53</v>
      </c>
      <c r="G39" s="295"/>
      <c r="H39" s="995" t="s">
        <v>18</v>
      </c>
    </row>
    <row s="15697" customFormat="1" customHeight="1" ht="6" hidden="1">
      <c r="A40" s="1006"/>
      <c r="B40" s="648"/>
      <c r="C40" s="649"/>
      <c r="D40" s="650"/>
      <c r="E40" s="651"/>
      <c r="F40" s="1276"/>
      <c r="G40" s="295"/>
      <c r="H40" s="631"/>
      <c r="I40" s="633"/>
      <c r="J40" s="1098"/>
    </row>
    <row s="15690" customFormat="1" customHeight="1" ht="26.25" hidden="1">
      <c r="A41" s="1010" t="s">
        <v>22</v>
      </c>
      <c r="B41" s="635"/>
      <c r="C41" s="630"/>
      <c r="D41" s="632"/>
      <c r="E41" s="613"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932" t="s">
        <v>53</v>
      </c>
      <c r="G41" s="295"/>
      <c r="I41" s="633"/>
      <c r="J41" s="1098"/>
    </row>
    <row s="15697" customFormat="1" customHeight="1" ht="6" hidden="1">
      <c r="A42" s="1006"/>
      <c r="B42" s="648"/>
      <c r="C42" s="649"/>
      <c r="D42" s="650"/>
      <c r="E42" s="651"/>
      <c r="F42" s="1276"/>
      <c r="G42" s="295"/>
      <c r="H42" s="631"/>
      <c r="I42" s="633"/>
      <c r="J42" s="1096"/>
    </row>
    <row s="15690" customFormat="1" customHeight="1" ht="27" hidden="1">
      <c r="A43" s="1006"/>
      <c r="B43" s="635"/>
      <c r="C43" s="630"/>
      <c r="D43" s="632"/>
      <c r="E43" s="613" t="s">
        <v>54</v>
      </c>
      <c r="F43" s="932" t="s">
        <v>53</v>
      </c>
      <c r="G43" s="295"/>
      <c r="I43" s="633"/>
      <c r="J43" s="1098"/>
    </row>
    <row s="15690" customFormat="1" customHeight="1" ht="27" hidden="1">
      <c r="A44" s="1006"/>
      <c r="B44" s="635"/>
      <c r="C44" s="630"/>
      <c r="D44" s="632"/>
      <c r="E44" s="1389" t="s">
        <v>55</v>
      </c>
      <c r="F44" s="2116"/>
      <c r="G44" s="295"/>
      <c r="I44" s="633"/>
      <c r="J44" s="1098"/>
    </row>
    <row s="15697" customFormat="1" customHeight="1" ht="6" hidden="1">
      <c r="A45" s="1006"/>
      <c r="B45" s="648"/>
      <c r="C45" s="649"/>
      <c r="D45" s="650"/>
      <c r="E45" s="651"/>
      <c r="F45" s="1276"/>
      <c r="G45" s="295"/>
      <c r="H45" s="631"/>
      <c r="I45" s="633"/>
      <c r="J45" s="1098"/>
    </row>
    <row s="15697" customFormat="1" customHeight="1" ht="24.75" hidden="1">
      <c r="A46" s="1006"/>
      <c r="B46" s="648"/>
      <c r="C46" s="649"/>
      <c r="D46" s="650"/>
      <c r="E46" s="1389" t="s">
        <v>56</v>
      </c>
      <c r="F46" s="932" t="s">
        <v>53</v>
      </c>
      <c r="G46" s="295"/>
      <c r="H46" s="631"/>
      <c r="I46" s="633"/>
      <c r="J46" s="1098"/>
    </row>
    <row s="15690" customFormat="1" customHeight="1" ht="24.75" hidden="1">
      <c r="A47" s="1006"/>
      <c r="B47" s="635"/>
      <c r="C47" s="630"/>
      <c r="D47" s="632"/>
      <c r="E47" s="1389" t="s">
        <v>57</v>
      </c>
      <c r="F47" s="932" t="s">
        <v>53</v>
      </c>
      <c r="G47" s="295"/>
      <c r="I47" s="633"/>
      <c r="J47" s="1098"/>
    </row>
    <row s="15666" customFormat="1" customHeight="1" ht="6" hidden="1">
      <c r="A48" s="1006"/>
      <c r="B48" s="454"/>
      <c r="C48" s="455"/>
      <c r="D48" s="456"/>
      <c r="E48" s="457"/>
      <c r="F48" s="1276"/>
      <c r="G48" s="295"/>
      <c r="H48" s="631"/>
      <c r="I48" s="633"/>
      <c r="J48" s="1098"/>
    </row>
    <row customHeight="1" ht="29.25" hidden="1">
      <c r="B49" s="371"/>
      <c r="D49" s="297"/>
      <c r="E49" s="61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932"/>
      <c r="G49" s="295"/>
    </row>
    <row s="15697" customFormat="1" customHeight="1" ht="6" hidden="1">
      <c r="A50" s="1007"/>
      <c r="B50" s="648"/>
      <c r="C50" s="649"/>
      <c r="D50" s="461"/>
      <c r="E50" s="459"/>
      <c r="F50" s="462"/>
      <c r="G50" s="299"/>
      <c r="H50" s="631"/>
      <c r="I50" s="633"/>
      <c r="J50" s="1098"/>
    </row>
    <row s="15737" customFormat="1" customHeight="1" ht="28.5" hidden="1">
      <c r="A51" s="1008"/>
      <c r="B51" s="635"/>
      <c r="C51" s="752"/>
      <c r="D51" s="753"/>
      <c r="E51" s="613" t="s">
        <v>58</v>
      </c>
      <c r="F51" s="932" t="s">
        <v>53</v>
      </c>
      <c r="G51" s="754"/>
      <c r="I51" s="756"/>
      <c r="J51" s="1100"/>
      <c r="P51" s="757"/>
    </row>
    <row s="15697" customFormat="1" customHeight="1" ht="6" hidden="1">
      <c r="A52" s="1007"/>
      <c r="B52" s="648"/>
      <c r="C52" s="649"/>
      <c r="D52" s="461"/>
      <c r="E52" s="459"/>
      <c r="F52" s="462"/>
      <c r="G52" s="299"/>
      <c r="H52" s="631"/>
      <c r="I52" s="633"/>
      <c r="J52" s="1096"/>
    </row>
    <row s="15737" customFormat="1" customHeight="1" ht="27" hidden="1">
      <c r="A53" s="1008"/>
      <c r="B53" s="635"/>
      <c r="C53" s="752"/>
      <c r="D53" s="753"/>
      <c r="E53" s="613" t="s">
        <v>59</v>
      </c>
      <c r="F53" s="1271" t="s">
        <v>53</v>
      </c>
      <c r="G53" s="754"/>
      <c r="I53" s="756"/>
      <c r="J53" s="1100"/>
      <c r="P53" s="757"/>
    </row>
    <row s="15737" customFormat="1" customHeight="1" ht="27" hidden="1">
      <c r="A54" s="1008"/>
      <c r="B54" s="635"/>
      <c r="C54" s="752"/>
      <c r="D54" s="753"/>
      <c r="E54" s="613" t="s">
        <v>60</v>
      </c>
      <c r="F54" s="2001"/>
      <c r="G54" s="754"/>
      <c r="I54" s="756"/>
      <c r="J54" s="1100"/>
      <c r="P54" s="757"/>
    </row>
    <row s="15697" customFormat="1" customHeight="1" ht="6" hidden="1">
      <c r="A55" s="1007"/>
      <c r="B55" s="648"/>
      <c r="C55" s="649"/>
      <c r="D55" s="461"/>
      <c r="E55" s="459"/>
      <c r="F55" s="462"/>
      <c r="G55" s="299"/>
      <c r="H55" s="631"/>
      <c r="I55" s="633"/>
      <c r="J55" s="1096"/>
    </row>
    <row s="15737" customFormat="1" customHeight="1" ht="25.5" hidden="1">
      <c r="A56" s="1008"/>
      <c r="B56" s="635"/>
      <c r="C56" s="752"/>
      <c r="D56" s="753"/>
      <c r="E56" s="613" t="s">
        <v>61</v>
      </c>
      <c r="F56" s="1271" t="s">
        <v>53</v>
      </c>
      <c r="G56" s="754"/>
      <c r="I56" s="756"/>
      <c r="J56" s="1100"/>
      <c r="P56" s="757"/>
    </row>
    <row s="15697" customFormat="1" customHeight="1" ht="6" hidden="1">
      <c r="A57" s="1007"/>
      <c r="B57" s="648"/>
      <c r="C57" s="649"/>
      <c r="D57" s="461"/>
      <c r="E57" s="459"/>
      <c r="F57" s="462"/>
      <c r="G57" s="299"/>
      <c r="H57" s="631"/>
      <c r="I57" s="633"/>
      <c r="J57" s="1096"/>
    </row>
    <row s="15737" customFormat="1" customHeight="1" ht="15" hidden="1">
      <c r="A58" s="1008"/>
      <c r="B58" s="635"/>
      <c r="C58" s="752"/>
      <c r="D58" s="753"/>
      <c r="E58" s="613" t="s">
        <v>62</v>
      </c>
      <c r="F58" s="1271" t="s">
        <v>63</v>
      </c>
      <c r="G58" s="754"/>
      <c r="I58" s="756"/>
      <c r="J58" s="1100"/>
      <c r="P58" s="757"/>
    </row>
    <row s="15737" customFormat="1" customHeight="1" ht="75" hidden="1">
      <c r="A59" s="1008"/>
      <c r="B59" s="635"/>
      <c r="C59" s="752"/>
      <c r="D59" s="753"/>
      <c r="E59" s="61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415"/>
      <c r="G59" s="754"/>
      <c r="I59" s="756"/>
      <c r="J59" s="1100"/>
      <c r="P59" s="757"/>
    </row>
    <row s="15737" customFormat="1" customHeight="1" ht="15" hidden="1">
      <c r="A60" s="1008"/>
      <c r="B60" s="635"/>
      <c r="C60" s="752"/>
      <c r="D60" s="753"/>
      <c r="E60" s="1389" t="s">
        <v>64</v>
      </c>
      <c r="F60" s="1375"/>
      <c r="G60" s="754"/>
      <c r="I60" s="756"/>
      <c r="J60" s="1100"/>
      <c r="P60" s="757"/>
    </row>
    <row s="15697" customFormat="1" customHeight="1" ht="6" hidden="1">
      <c r="A61" s="1007"/>
      <c r="B61" s="648"/>
      <c r="C61" s="649"/>
      <c r="D61" s="650"/>
      <c r="E61" s="651"/>
      <c r="F61" s="1276"/>
      <c r="G61" s="295"/>
      <c r="H61" s="631"/>
      <c r="I61" s="633"/>
      <c r="J61" s="1098"/>
    </row>
    <row s="15690" customFormat="1" customHeight="1" ht="33.75" hidden="1">
      <c r="A62" s="1007"/>
      <c r="B62" s="321"/>
      <c r="C62" s="630"/>
      <c r="D62" s="632"/>
      <c r="E62" s="1389" t="s">
        <v>65</v>
      </c>
      <c r="F62" s="1898" t="s">
        <v>63</v>
      </c>
      <c r="G62" s="295"/>
      <c r="H62" s="995" t="s">
        <v>18</v>
      </c>
      <c r="I62" s="633"/>
      <c r="J62" s="1098"/>
    </row>
    <row s="15666" customFormat="1" customHeight="1" ht="6">
      <c r="A63" s="1007"/>
      <c r="B63" s="454"/>
      <c r="C63" s="455"/>
      <c r="D63" s="461"/>
      <c r="E63" s="459"/>
      <c r="F63" s="462"/>
      <c r="G63" s="299"/>
      <c r="H63" s="631"/>
      <c r="I63" s="633"/>
      <c r="J63" s="1096"/>
    </row>
    <row customHeight="1" ht="19.5">
      <c r="A64" s="1009"/>
      <c r="B64" s="322"/>
      <c r="D64" s="304"/>
      <c r="E64" s="613" t="s">
        <v>66</v>
      </c>
      <c r="F64" s="438" t="s">
        <v>67</v>
      </c>
      <c r="G64" s="299"/>
    </row>
    <row customHeight="1" ht="19.5">
      <c r="A65" s="1009"/>
      <c r="B65" s="322"/>
      <c r="D65" s="304"/>
      <c r="E65" s="613" t="s">
        <v>68</v>
      </c>
      <c r="F65" s="438" t="s">
        <v>69</v>
      </c>
      <c r="G65" s="299"/>
    </row>
    <row customHeight="1" ht="35.25">
      <c r="D66" s="297"/>
      <c r="E66" s="615" t="s">
        <v>70</v>
      </c>
      <c r="F66" s="1277"/>
      <c r="G66" s="295"/>
    </row>
    <row customHeight="1" ht="19.5">
      <c r="A67" s="1009"/>
      <c r="D67" s="632"/>
      <c r="E67" s="613" t="s">
        <v>71</v>
      </c>
      <c r="F67" s="493" t="s">
        <v>72</v>
      </c>
      <c r="G67" s="299"/>
    </row>
    <row customHeight="1" ht="19.5">
      <c r="A68" s="1009"/>
      <c r="B68" s="322"/>
      <c r="D68" s="304"/>
      <c r="E68" s="613" t="s">
        <v>73</v>
      </c>
      <c r="F68" s="493" t="s">
        <v>74</v>
      </c>
      <c r="G68" s="299"/>
    </row>
    <row customHeight="1" ht="19.5">
      <c r="A69" s="1009"/>
      <c r="B69" s="322"/>
      <c r="D69" s="304"/>
      <c r="E69" s="613" t="s">
        <v>75</v>
      </c>
      <c r="F69" s="493" t="s">
        <v>76</v>
      </c>
      <c r="G69" s="299"/>
    </row>
    <row customHeight="1" ht="19.5">
      <c r="D70" s="632"/>
      <c r="E70" s="613" t="s">
        <v>77</v>
      </c>
      <c r="F70" s="493" t="s">
        <v>78</v>
      </c>
      <c r="G70" s="295"/>
    </row>
    <row customHeight="1" ht="20.25">
      <c r="A71" s="1009"/>
      <c r="D71" s="295"/>
      <c r="F71" s="356"/>
      <c r="G71" s="299"/>
    </row>
    <row customHeight="1" ht="19.5">
      <c r="A72" s="1009"/>
      <c r="B72" s="322"/>
      <c r="D72" s="304"/>
      <c r="E72" s="303"/>
      <c r="F72" s="357"/>
      <c r="G72" s="299"/>
    </row>
    <row customHeight="1" ht="19.5">
      <c r="A73" s="1009"/>
      <c r="B73" s="322"/>
      <c r="D73" s="304"/>
      <c r="E73" s="303"/>
      <c r="F73" s="357"/>
      <c r="G73" s="299"/>
    </row>
    <row customHeight="1" ht="19.5">
      <c r="A74" s="1009"/>
      <c r="B74" s="322"/>
      <c r="D74" s="304"/>
      <c r="E74" s="308"/>
      <c r="F74" s="357"/>
      <c r="G74" s="299"/>
    </row>
    <row customHeight="1" ht="19.5">
      <c r="A75" s="1009"/>
      <c r="B75" s="322"/>
      <c r="D75" s="304"/>
      <c r="E75" s="303"/>
      <c r="F75" s="357"/>
      <c r="G75" s="299"/>
    </row>
    <row r="78" customHeight="1" ht="11.25">
      <c r="E78" s="612"/>
      <c r="F78" s="612"/>
      <c r="G78" s="612"/>
      <c r="H78" s="612"/>
      <c r="I78" s="612"/>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2EADE85C-63E4-6D37-E74D-539913840484}"/>
    <hyperlink ref="H17" location="Титульный!H9" display="Как заполнить?" tooltip="Помощь по работе с полями отчётной формы" xr:uid="{2F11F35E-2C0E-5AC8-27D5-91B77E51E594}"/>
    <hyperlink ref="H39" location="Титульный!H9" display="Как заполнить?" tooltip="Помощь по работе с полями отчётной формы" xr:uid="{83829D8F-5D53-702A-32A4-95B496434CA5}"/>
    <hyperlink ref="H62" location="Титульный!H9" display="Как заполнить?" tooltip="Помощь по работе с полями отчётной формы" xr:uid="{5DF6E172-093F-ADD4-6F83-17BBE28A985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363157-36BA-3F5F-5B8F-684AF2A77C81}" mc:Ignorable="x14ac xr xr2 xr3">
  <sheetPr>
    <tabColor rgb="FFCCCCFF"/>
    <pageSetUpPr fitToPage="1"/>
  </sheetPr>
  <dimension ref="A1:AB67"/>
  <sheetViews>
    <sheetView topLeftCell="A1" showGridLines="0" zoomScale="90" workbookViewId="0">
      <selection activeCell="I31" sqref="I31"/>
    </sheetView>
  </sheetViews>
  <sheetFormatPr defaultColWidth="9.140625" customHeight="1" defaultRowHeight="14.25"/>
  <cols>
    <col min="1" max="1" style="15861" width="8.00390625" hidden="1" customWidth="1"/>
    <col min="2" max="2" style="15862" width="6.00390625" hidden="1" customWidth="1"/>
    <col min="3" max="3" style="15861" width="3.7109375" customWidth="1"/>
    <col min="4" max="4" style="15863" width="3.7109375" customWidth="1"/>
    <col min="5" max="5" style="15864" width="6.28125" customWidth="1"/>
    <col min="6" max="6" style="15861" width="2.7109375" hidden="1" customWidth="1"/>
    <col min="7" max="7" style="15864" width="46.7109375" customWidth="1"/>
    <col min="8" max="8" style="15864" width="43.140625" customWidth="1"/>
    <col min="9" max="9" style="15864" width="14.8515625" customWidth="1"/>
    <col min="10" max="10" style="15865" width="3.7109375" customWidth="1"/>
    <col min="11" max="13" style="15865" width="9.140625" hidden="1"/>
    <col min="14" max="14" style="15866" width="25.7109375" hidden="1" customWidth="1"/>
    <col min="15" max="15" style="15865" width="14.421875" hidden="1" customWidth="1"/>
    <col min="16" max="19" style="15867" width="9.140625" hidden="1"/>
    <col min="20" max="27" style="15864" width="9.140625" hidden="1"/>
    <col min="28" max="28" style="15864" width="9.140625"/>
  </cols>
  <sheetData>
    <row s="15768" customFormat="1" customHeight="1" ht="5.25" hidden="1">
      <c r="A1" s="718"/>
      <c r="B1" s="733"/>
      <c r="C1" s="733"/>
      <c r="D1" s="443"/>
      <c r="F1" s="733"/>
      <c r="G1" s="469" t="s">
        <v>79</v>
      </c>
      <c r="H1" s="716" t="s">
        <v>80</v>
      </c>
      <c r="I1" s="449" t="s">
        <v>81</v>
      </c>
      <c r="J1" s="469" t="s">
        <v>79</v>
      </c>
      <c r="K1" s="469"/>
      <c r="L1" s="469"/>
      <c r="M1" s="469"/>
      <c r="N1" s="470"/>
      <c r="O1" s="469"/>
      <c r="P1" s="469"/>
      <c r="Q1" s="469"/>
      <c r="R1" s="469"/>
      <c r="S1" s="469"/>
      <c r="T1" s="449"/>
      <c r="U1" s="449"/>
      <c r="V1" s="449"/>
      <c r="W1" s="449"/>
      <c r="X1" s="449"/>
      <c r="Y1" s="449"/>
      <c r="Z1" s="449"/>
      <c r="AA1" s="449"/>
      <c r="AB1" s="449"/>
    </row>
    <row s="15776" customFormat="1" customHeight="1" ht="11.25">
      <c r="A2" s="1053"/>
      <c r="B2" s="450"/>
      <c r="C2" s="450"/>
      <c r="D2" s="451"/>
      <c r="E2" s="450"/>
      <c r="F2" s="450"/>
      <c r="G2" s="450"/>
      <c r="H2" s="450"/>
      <c r="I2" s="450"/>
      <c r="J2" s="469"/>
      <c r="K2" s="469"/>
      <c r="L2" s="469"/>
      <c r="M2" s="469"/>
      <c r="N2" s="470"/>
      <c r="O2" s="469"/>
      <c r="P2" s="452"/>
      <c r="Q2" s="452"/>
      <c r="R2" s="452"/>
      <c r="S2" s="452"/>
      <c r="T2" s="451"/>
      <c r="U2" s="451"/>
      <c r="V2" s="451"/>
      <c r="W2" s="451"/>
      <c r="X2" s="451"/>
      <c r="Y2" s="451"/>
      <c r="Z2" s="451"/>
      <c r="AA2" s="451"/>
      <c r="AB2" s="451"/>
    </row>
    <row s="15781" customFormat="1" customHeight="1" ht="3">
      <c r="A3" s="980"/>
      <c r="B3" s="639"/>
      <c r="C3" s="980"/>
      <c r="D3" s="387"/>
      <c r="E3" s="326"/>
      <c r="F3" s="731"/>
      <c r="G3" s="326"/>
      <c r="H3" s="326"/>
      <c r="I3" s="389"/>
      <c r="J3" s="469"/>
      <c r="K3" s="378"/>
      <c r="L3" s="378"/>
      <c r="M3" s="378"/>
      <c r="N3" s="448"/>
      <c r="O3" s="378"/>
      <c r="P3" s="447"/>
      <c r="Q3" s="447"/>
      <c r="R3" s="447"/>
      <c r="S3" s="447"/>
    </row>
    <row s="15781" customFormat="1" customHeight="1" ht="25.5">
      <c r="A4" s="980"/>
      <c r="B4" s="639"/>
      <c r="C4" s="980"/>
      <c r="D4" s="387"/>
      <c r="E4" s="2236" t="str">
        <f>NameTemplatesInListMO</f>
        <v>Перечень муниципальных районов и муниципальных образований (территорий действия тарифа)</v>
      </c>
      <c r="F4" s="2236"/>
      <c r="G4" s="2236"/>
      <c r="H4" s="2236"/>
      <c r="I4" s="2236"/>
      <c r="J4" s="469"/>
      <c r="K4" s="378"/>
      <c r="L4" s="378"/>
      <c r="M4" s="378"/>
      <c r="N4" s="448"/>
      <c r="O4" s="378"/>
      <c r="P4" s="447"/>
      <c r="Q4" s="447"/>
      <c r="R4" s="447"/>
      <c r="S4" s="447"/>
    </row>
    <row s="15781" customFormat="1" customHeight="1" ht="3">
      <c r="A5" s="980"/>
      <c r="B5" s="639"/>
      <c r="C5" s="980"/>
      <c r="D5" s="387"/>
      <c r="E5" s="326"/>
      <c r="F5" s="731"/>
      <c r="G5" s="390"/>
      <c r="H5" s="390"/>
      <c r="I5" s="391"/>
      <c r="J5" s="378"/>
      <c r="K5" s="378"/>
      <c r="L5" s="378"/>
      <c r="M5" s="378"/>
      <c r="N5" s="448"/>
      <c r="O5" s="378"/>
      <c r="P5" s="447"/>
      <c r="Q5" s="447"/>
      <c r="R5" s="447"/>
      <c r="S5" s="447"/>
    </row>
    <row s="15781" customFormat="1" customHeight="1" ht="20.25" hidden="1">
      <c r="A6" s="1059"/>
      <c r="B6" s="1055"/>
      <c r="C6" s="392"/>
      <c r="D6" s="387"/>
      <c r="E6" s="1001"/>
      <c r="F6" s="1001"/>
      <c r="G6" s="390"/>
      <c r="H6" s="393"/>
      <c r="I6" s="393"/>
      <c r="J6" s="378"/>
      <c r="K6" s="378"/>
      <c r="L6" s="378"/>
      <c r="M6" s="378"/>
      <c r="N6" s="448"/>
      <c r="O6" s="378"/>
      <c r="P6" s="447"/>
      <c r="Q6" s="447"/>
      <c r="R6" s="447"/>
      <c r="S6" s="447"/>
    </row>
    <row customHeight="1" ht="25.5" hidden="1"/>
    <row s="15781" customFormat="1" customHeight="1" ht="14.25">
      <c r="A8" s="980"/>
      <c r="B8" s="639"/>
      <c r="C8" s="980"/>
      <c r="D8" s="387"/>
      <c r="E8" s="2237" t="s">
        <v>82</v>
      </c>
      <c r="F8" s="2238"/>
      <c r="G8" s="2239"/>
      <c r="H8" s="2240" t="s">
        <v>83</v>
      </c>
      <c r="I8" s="2240"/>
      <c r="J8" s="378"/>
      <c r="K8" s="378"/>
      <c r="L8" s="378"/>
      <c r="M8" s="378"/>
      <c r="N8" s="448"/>
      <c r="O8" s="378"/>
      <c r="P8" s="447"/>
      <c r="Q8" s="447"/>
      <c r="R8" s="447"/>
      <c r="S8" s="447"/>
    </row>
    <row s="15781" customFormat="1" customHeight="1" ht="20.25">
      <c r="A9" s="980"/>
      <c r="B9" s="639"/>
      <c r="C9" s="980"/>
      <c r="D9" s="387"/>
      <c r="E9" s="999" t="s">
        <v>84</v>
      </c>
      <c r="F9" s="999"/>
      <c r="G9" s="395" t="s">
        <v>85</v>
      </c>
      <c r="H9" s="395" t="s">
        <v>85</v>
      </c>
      <c r="I9" s="395" t="s">
        <v>81</v>
      </c>
      <c r="J9" s="378"/>
      <c r="K9" s="378"/>
      <c r="L9" s="378"/>
      <c r="M9" s="378"/>
      <c r="N9" s="448"/>
      <c r="O9" s="378"/>
      <c r="P9" s="447"/>
      <c r="Q9" s="447"/>
      <c r="R9" s="447"/>
      <c r="S9" s="447"/>
    </row>
    <row customHeight="1" ht="11.25">
      <c r="D10" s="399"/>
      <c r="E10" s="1000" t="s">
        <v>86</v>
      </c>
      <c r="F10" s="1000"/>
      <c r="G10" s="445" t="s">
        <v>87</v>
      </c>
      <c r="H10" s="445" t="s">
        <v>88</v>
      </c>
      <c r="I10" s="445" t="s">
        <v>89</v>
      </c>
      <c r="J10" s="408"/>
      <c r="K10" s="408"/>
      <c r="L10" s="408"/>
      <c r="M10" s="408"/>
      <c r="N10" s="394"/>
      <c r="O10" s="408"/>
      <c r="P10" s="446"/>
      <c r="Q10" s="446"/>
      <c r="R10" s="446"/>
      <c r="S10" s="446"/>
    </row>
    <row s="15781" customFormat="1" customHeight="1" ht="0.75">
      <c r="A11" s="980"/>
      <c r="B11" s="639"/>
      <c r="C11" s="980"/>
      <c r="D11" s="387"/>
      <c r="E11" s="1012"/>
      <c r="F11" s="1012"/>
      <c r="G11" s="396"/>
      <c r="H11" s="396"/>
      <c r="I11" s="398"/>
      <c r="J11" s="471" t="s">
        <v>90</v>
      </c>
      <c r="K11" s="378"/>
      <c r="L11" s="378"/>
      <c r="M11" s="378" t="s">
        <v>91</v>
      </c>
      <c r="N11" s="448" t="s">
        <v>92</v>
      </c>
      <c r="O11" s="378" t="s">
        <v>93</v>
      </c>
      <c r="P11" s="447"/>
      <c r="Q11" s="447"/>
      <c r="R11" s="447"/>
      <c r="S11" s="447"/>
    </row>
    <row s="15815" customFormat="1" customHeight="1" ht="14.25">
      <c r="A12" s="2235">
        <v>1</v>
      </c>
      <c r="B12" s="639"/>
      <c r="C12" s="980"/>
      <c r="D12" s="1004"/>
      <c r="E12" s="441">
        <f>A12</f>
        <v>1</v>
      </c>
      <c r="F12" s="1024" t="s">
        <v>94</v>
      </c>
      <c r="G12" s="762" t="str">
        <f>"Территория "&amp;E12</f>
        <v>Территория 1</v>
      </c>
      <c r="H12" s="1014"/>
      <c r="I12" s="1014"/>
      <c r="J12" s="1011"/>
      <c r="K12" s="722"/>
      <c r="L12" s="722"/>
      <c r="M12" s="722"/>
      <c r="N12" s="448"/>
      <c r="O12" s="722"/>
      <c r="P12" s="447"/>
      <c r="Q12" s="447"/>
      <c r="R12" s="447"/>
      <c r="S12" s="447"/>
    </row>
    <row s="15824" customFormat="1" customHeight="1" ht="15">
      <c r="A13" s="2235"/>
      <c r="B13" s="639">
        <v>1</v>
      </c>
      <c r="C13" s="639"/>
      <c r="D13" s="1022"/>
      <c r="E13" s="1002" t="str">
        <f>A12&amp;"."&amp;B13</f>
        <v>1.1</v>
      </c>
      <c r="F13" s="1017" t="s">
        <v>95</v>
      </c>
      <c r="G13" s="1015" t="s">
        <v>96</v>
      </c>
      <c r="H13" s="1015" t="s">
        <v>96</v>
      </c>
      <c r="I13" s="1013" t="s">
        <v>97</v>
      </c>
      <c r="J13" s="722">
        <f>MERGEVALUE(G13)</f>
      </c>
      <c r="K13" s="733"/>
      <c r="L13" s="733"/>
      <c r="M13" s="722" t="str">
        <f t="array" ref="M13:M13">IF(ISERROR(MATCH(MID(N13,1,250),MID(note_ter,1,250),0)),"n","y")</f>
        <v>n</v>
      </c>
      <c r="N13" s="733"/>
      <c r="O13" s="722" t="str">
        <f>H13&amp;"("&amp;I13&amp;")"</f>
        <v>Хасанский муниципальный округ(05548000)</v>
      </c>
      <c r="P13" s="639"/>
      <c r="Q13" s="639"/>
      <c r="R13" s="642"/>
      <c r="S13" s="639"/>
      <c r="T13" s="639"/>
      <c r="U13" s="639"/>
      <c r="V13" s="644"/>
      <c r="W13" s="644"/>
      <c r="X13" s="641"/>
      <c r="Y13" s="641"/>
      <c r="Z13" s="641"/>
      <c r="AA13" s="641"/>
      <c r="AB13" s="641"/>
    </row>
    <row s="15824" customFormat="1" customHeight="1" ht="15">
      <c r="A14" s="2235"/>
      <c r="B14" s="639"/>
      <c r="C14" s="634"/>
      <c r="D14" s="1023"/>
      <c r="E14" s="643"/>
      <c r="F14" s="400"/>
      <c r="G14" s="637" t="s">
        <v>98</v>
      </c>
      <c r="H14" s="409"/>
      <c r="I14" s="646"/>
      <c r="J14" s="733"/>
      <c r="K14" s="733"/>
      <c r="L14" s="733"/>
      <c r="M14" s="733"/>
      <c r="N14" s="722"/>
      <c r="O14" s="733"/>
      <c r="P14" s="639"/>
      <c r="Q14" s="639"/>
      <c r="R14" s="642"/>
      <c r="S14" s="639"/>
      <c r="T14" s="639"/>
      <c r="U14" s="639"/>
      <c r="V14" s="644"/>
      <c r="W14" s="644"/>
      <c r="X14" s="641"/>
      <c r="Y14" s="641"/>
      <c r="Z14" s="641"/>
      <c r="AA14" s="641"/>
      <c r="AB14" s="641"/>
    </row>
    <row customHeight="1" ht="15">
      <c r="A15" s="2363" t="s">
        <v>99</v>
      </c>
      <c r="B15" s="1384"/>
      <c r="C15" s="1023" t="s">
        <v>100</v>
      </c>
      <c r="D15" s="2045"/>
      <c r="E15" s="2032" t="str">
        <f>A15</f>
        <v>2</v>
      </c>
      <c r="F15" s="1026" t="s">
        <v>101</v>
      </c>
      <c r="G15" s="762" t="str">
        <f>"Территория "&amp;E15</f>
        <v>Территория 2</v>
      </c>
      <c r="H15" s="1014"/>
      <c r="I15" s="1014"/>
      <c r="J15" s="1011"/>
      <c r="K15" s="1851"/>
      <c r="L15" s="1851"/>
      <c r="M15" s="1851"/>
      <c r="N15" s="448"/>
      <c r="O15" s="1851"/>
      <c r="P15" s="447"/>
      <c r="Q15" s="447"/>
      <c r="R15" s="447"/>
      <c r="S15" s="447"/>
      <c r="T15" s="8428"/>
      <c r="U15" s="8428"/>
      <c r="V15" s="8428"/>
      <c r="W15" s="8428"/>
      <c r="X15" s="8428"/>
      <c r="Y15" s="8428"/>
      <c r="Z15" s="8428"/>
      <c r="AA15" s="8428"/>
      <c r="AB15" s="8428"/>
    </row>
    <row customHeight="1" ht="15">
      <c r="A16" s="2363"/>
      <c r="B16" s="1384">
        <v>1</v>
      </c>
      <c r="C16" s="1384"/>
      <c r="D16" s="1022"/>
      <c r="E16" s="2040" t="str">
        <f>A15&amp;"."&amp;B16</f>
        <v>2.1</v>
      </c>
      <c r="F16" s="1025" t="s">
        <v>102</v>
      </c>
      <c r="G16" s="1015" t="s">
        <v>103</v>
      </c>
      <c r="H16" s="1015" t="s">
        <v>104</v>
      </c>
      <c r="I16" s="1013" t="s">
        <v>105</v>
      </c>
      <c r="J16" s="1851"/>
      <c r="K16" s="1863"/>
      <c r="L16" s="1863"/>
      <c r="M16" s="1851" t="str">
        <f t="array" ref="M16:M16">IF(ISERROR(MATCH(MID(N16,1,250),MID(note_ter,1,250),0)),"n","y")</f>
        <v>n</v>
      </c>
      <c r="N16" s="1863"/>
      <c r="O16" s="1851" t="str">
        <f>H16&amp;"("&amp;I16&amp;")"</f>
        <v>Смоляниновское городское поселение(05657158)</v>
      </c>
      <c r="P16" s="1384"/>
      <c r="Q16" s="1384"/>
      <c r="R16" s="642"/>
      <c r="S16" s="1384"/>
      <c r="T16" s="1384"/>
      <c r="U16" s="1384"/>
      <c r="V16" s="644"/>
      <c r="W16" s="644"/>
      <c r="X16" s="641"/>
      <c r="Y16" s="641"/>
      <c r="Z16" s="641"/>
      <c r="AA16" s="641"/>
      <c r="AB16" s="641"/>
    </row>
    <row customHeight="1" ht="15">
      <c r="A17" s="2363"/>
      <c r="B17" s="1384"/>
      <c r="C17" s="634"/>
      <c r="D17" s="1023"/>
      <c r="E17" s="643"/>
      <c r="F17" s="400"/>
      <c r="G17" s="637" t="s">
        <v>98</v>
      </c>
      <c r="H17" s="409"/>
      <c r="I17" s="646"/>
      <c r="J17" s="1863"/>
      <c r="K17" s="1863"/>
      <c r="L17" s="1863"/>
      <c r="M17" s="1863"/>
      <c r="N17" s="1851"/>
      <c r="O17" s="1863"/>
      <c r="P17" s="1384"/>
      <c r="Q17" s="1384"/>
      <c r="R17" s="642"/>
      <c r="S17" s="1384"/>
      <c r="T17" s="1384"/>
      <c r="U17" s="1384"/>
      <c r="V17" s="644"/>
      <c r="W17" s="644"/>
      <c r="X17" s="641"/>
      <c r="Y17" s="641"/>
      <c r="Z17" s="641"/>
      <c r="AA17" s="641"/>
      <c r="AB17" s="641"/>
    </row>
    <row customHeight="1" ht="15">
      <c r="A18" s="2363" t="s">
        <v>86</v>
      </c>
      <c r="B18" s="1384"/>
      <c r="C18" s="1023" t="s">
        <v>100</v>
      </c>
      <c r="D18" s="2045"/>
      <c r="E18" s="2032" t="str">
        <f>A18</f>
        <v>3</v>
      </c>
      <c r="F18" s="1026" t="s">
        <v>106</v>
      </c>
      <c r="G18" s="762" t="str">
        <f>"Территория "&amp;E18</f>
        <v>Территория 3</v>
      </c>
      <c r="H18" s="1014"/>
      <c r="I18" s="1014"/>
      <c r="J18" s="1011"/>
      <c r="K18" s="1851"/>
      <c r="L18" s="1851"/>
      <c r="M18" s="1851"/>
      <c r="N18" s="448"/>
      <c r="O18" s="1851"/>
      <c r="P18" s="447"/>
      <c r="Q18" s="447"/>
      <c r="R18" s="447"/>
      <c r="S18" s="447"/>
      <c r="T18" s="8428"/>
      <c r="U18" s="8428"/>
      <c r="V18" s="8428"/>
      <c r="W18" s="8428"/>
      <c r="X18" s="8428"/>
      <c r="Y18" s="8428"/>
      <c r="Z18" s="8428"/>
      <c r="AA18" s="8428"/>
      <c r="AB18" s="8428"/>
    </row>
    <row customHeight="1" ht="15">
      <c r="A19" s="2363"/>
      <c r="B19" s="1384">
        <v>1</v>
      </c>
      <c r="C19" s="1384"/>
      <c r="D19" s="1022"/>
      <c r="E19" s="2040" t="str">
        <f>A18&amp;"."&amp;B19</f>
        <v>3.1</v>
      </c>
      <c r="F19" s="1025" t="s">
        <v>87</v>
      </c>
      <c r="G19" s="1015" t="s">
        <v>107</v>
      </c>
      <c r="H19" s="1015" t="s">
        <v>107</v>
      </c>
      <c r="I19" s="1013" t="s">
        <v>108</v>
      </c>
      <c r="J19" s="1851"/>
      <c r="K19" s="1863"/>
      <c r="L19" s="1863"/>
      <c r="M19" s="1851" t="str">
        <f t="array" ref="M19:M19">IF(ISERROR(MATCH(MID(N19,1,250),MID(note_ter,1,250),0)),"n","y")</f>
        <v>n</v>
      </c>
      <c r="N19" s="1863"/>
      <c r="O19" s="1851" t="str">
        <f>H19&amp;"("&amp;I19&amp;")"</f>
        <v>Владивостокский городской округ(05701000)</v>
      </c>
      <c r="P19" s="1384"/>
      <c r="Q19" s="1384"/>
      <c r="R19" s="642"/>
      <c r="S19" s="1384"/>
      <c r="T19" s="1384"/>
      <c r="U19" s="1384"/>
      <c r="V19" s="644"/>
      <c r="W19" s="644"/>
      <c r="X19" s="641"/>
      <c r="Y19" s="641"/>
      <c r="Z19" s="641"/>
      <c r="AA19" s="641"/>
      <c r="AB19" s="641"/>
    </row>
    <row customHeight="1" ht="15">
      <c r="A20" s="2363"/>
      <c r="B20" s="1384"/>
      <c r="C20" s="634"/>
      <c r="D20" s="1023"/>
      <c r="E20" s="643"/>
      <c r="F20" s="400"/>
      <c r="G20" s="637" t="s">
        <v>98</v>
      </c>
      <c r="H20" s="409"/>
      <c r="I20" s="646"/>
      <c r="J20" s="1863"/>
      <c r="K20" s="1863"/>
      <c r="L20" s="1863"/>
      <c r="M20" s="1863"/>
      <c r="N20" s="1851"/>
      <c r="O20" s="1863"/>
      <c r="P20" s="1384"/>
      <c r="Q20" s="1384"/>
      <c r="R20" s="642"/>
      <c r="S20" s="1384"/>
      <c r="T20" s="1384"/>
      <c r="U20" s="1384"/>
      <c r="V20" s="644"/>
      <c r="W20" s="644"/>
      <c r="X20" s="641"/>
      <c r="Y20" s="641"/>
      <c r="Z20" s="641"/>
      <c r="AA20" s="641"/>
      <c r="AB20" s="641"/>
    </row>
    <row customHeight="1" ht="15">
      <c r="A21" s="2363" t="s">
        <v>87</v>
      </c>
      <c r="B21" s="1384"/>
      <c r="C21" s="1023" t="s">
        <v>100</v>
      </c>
      <c r="D21" s="2045"/>
      <c r="E21" s="2032" t="str">
        <f>A21</f>
        <v>4</v>
      </c>
      <c r="F21" s="1026" t="s">
        <v>109</v>
      </c>
      <c r="G21" s="762" t="str">
        <f>"Территория "&amp;E21</f>
        <v>Территория 4</v>
      </c>
      <c r="H21" s="1014"/>
      <c r="I21" s="1014"/>
      <c r="J21" s="1011"/>
      <c r="K21" s="1851"/>
      <c r="L21" s="1851"/>
      <c r="M21" s="1851"/>
      <c r="N21" s="448"/>
      <c r="O21" s="1851"/>
      <c r="P21" s="447"/>
      <c r="Q21" s="447"/>
      <c r="R21" s="447"/>
      <c r="S21" s="447"/>
      <c r="T21" s="8428"/>
      <c r="U21" s="8428"/>
      <c r="V21" s="8428"/>
      <c r="W21" s="8428"/>
      <c r="X21" s="8428"/>
      <c r="Y21" s="8428"/>
      <c r="Z21" s="8428"/>
      <c r="AA21" s="8428"/>
      <c r="AB21" s="8428"/>
    </row>
    <row customHeight="1" ht="15">
      <c r="A22" s="2363"/>
      <c r="B22" s="1384">
        <v>1</v>
      </c>
      <c r="C22" s="1384"/>
      <c r="D22" s="1022"/>
      <c r="E22" s="2040" t="str">
        <f>A21&amp;"."&amp;B22</f>
        <v>4.1</v>
      </c>
      <c r="F22" s="1025" t="s">
        <v>110</v>
      </c>
      <c r="G22" s="1015" t="s">
        <v>111</v>
      </c>
      <c r="H22" s="1015" t="s">
        <v>111</v>
      </c>
      <c r="I22" s="1013" t="s">
        <v>112</v>
      </c>
      <c r="J22" s="1851"/>
      <c r="K22" s="1863"/>
      <c r="L22" s="1863"/>
      <c r="M22" s="1851" t="str">
        <f t="array" ref="M22:M22">IF(ISERROR(MATCH(MID(N22,1,250),MID(note_ter,1,250),0)),"n","y")</f>
        <v>n</v>
      </c>
      <c r="N22" s="1863"/>
      <c r="O22" s="1851" t="str">
        <f>H22&amp;"("&amp;I22&amp;")"</f>
        <v>Чугуевский муниципальный округ(05555000)</v>
      </c>
      <c r="P22" s="1384"/>
      <c r="Q22" s="1384"/>
      <c r="R22" s="642"/>
      <c r="S22" s="1384"/>
      <c r="T22" s="1384"/>
      <c r="U22" s="1384"/>
      <c r="V22" s="644"/>
      <c r="W22" s="644"/>
      <c r="X22" s="641"/>
      <c r="Y22" s="641"/>
      <c r="Z22" s="641"/>
      <c r="AA22" s="641"/>
      <c r="AB22" s="641"/>
    </row>
    <row customHeight="1" ht="15">
      <c r="A23" s="2363"/>
      <c r="B23" s="1384"/>
      <c r="C23" s="634"/>
      <c r="D23" s="1023"/>
      <c r="E23" s="643"/>
      <c r="F23" s="400"/>
      <c r="G23" s="637" t="s">
        <v>98</v>
      </c>
      <c r="H23" s="409"/>
      <c r="I23" s="646"/>
      <c r="J23" s="1863"/>
      <c r="K23" s="1863"/>
      <c r="L23" s="1863"/>
      <c r="M23" s="1863"/>
      <c r="N23" s="1851"/>
      <c r="O23" s="1863"/>
      <c r="P23" s="1384"/>
      <c r="Q23" s="1384"/>
      <c r="R23" s="642"/>
      <c r="S23" s="1384"/>
      <c r="T23" s="1384"/>
      <c r="U23" s="1384"/>
      <c r="V23" s="644"/>
      <c r="W23" s="644"/>
      <c r="X23" s="641"/>
      <c r="Y23" s="641"/>
      <c r="Z23" s="641"/>
      <c r="AA23" s="641"/>
      <c r="AB23" s="641"/>
    </row>
    <row customHeight="1" ht="15">
      <c r="A24" s="2363" t="s">
        <v>113</v>
      </c>
      <c r="B24" s="1384"/>
      <c r="C24" s="1023" t="s">
        <v>100</v>
      </c>
      <c r="D24" s="2045"/>
      <c r="E24" s="2032" t="str">
        <f>A24</f>
        <v>5</v>
      </c>
      <c r="F24" s="1026" t="s">
        <v>114</v>
      </c>
      <c r="G24" s="762" t="str">
        <f>"Территория "&amp;E24</f>
        <v>Территория 5</v>
      </c>
      <c r="H24" s="1014"/>
      <c r="I24" s="1014"/>
      <c r="J24" s="1011"/>
      <c r="K24" s="1851"/>
      <c r="L24" s="1851"/>
      <c r="M24" s="1851"/>
      <c r="N24" s="448"/>
      <c r="O24" s="1851"/>
      <c r="P24" s="447"/>
      <c r="Q24" s="447"/>
      <c r="R24" s="447"/>
      <c r="S24" s="447"/>
      <c r="T24" s="8428"/>
      <c r="U24" s="8428"/>
      <c r="V24" s="8428"/>
      <c r="W24" s="8428"/>
      <c r="X24" s="8428"/>
      <c r="Y24" s="8428"/>
      <c r="Z24" s="8428"/>
      <c r="AA24" s="8428"/>
      <c r="AB24" s="8428"/>
    </row>
    <row customHeight="1" ht="15">
      <c r="A25" s="2363"/>
      <c r="B25" s="1384">
        <v>1</v>
      </c>
      <c r="C25" s="1384"/>
      <c r="D25" s="1022"/>
      <c r="E25" s="2040" t="str">
        <f>A24&amp;"."&amp;B25</f>
        <v>5.1</v>
      </c>
      <c r="F25" s="1025" t="s">
        <v>115</v>
      </c>
      <c r="G25" s="1015" t="s">
        <v>116</v>
      </c>
      <c r="H25" s="1015" t="s">
        <v>117</v>
      </c>
      <c r="I25" s="1013" t="s">
        <v>118</v>
      </c>
      <c r="J25" s="1851"/>
      <c r="K25" s="1863"/>
      <c r="L25" s="1863"/>
      <c r="M25" s="1851" t="str">
        <f t="array" ref="M25:M25">IF(ISERROR(MATCH(MID(N25,1,250),MID(note_ter,1,250),0)),"n","y")</f>
        <v>n</v>
      </c>
      <c r="N25" s="1863"/>
      <c r="O25" s="1851" t="str">
        <f>H25&amp;"("&amp;I25&amp;")"</f>
        <v>Кировское городское поселение(05612151)</v>
      </c>
      <c r="P25" s="1384"/>
      <c r="Q25" s="1384"/>
      <c r="R25" s="642"/>
      <c r="S25" s="1384"/>
      <c r="T25" s="1384"/>
      <c r="U25" s="1384"/>
      <c r="V25" s="644"/>
      <c r="W25" s="644"/>
      <c r="X25" s="641"/>
      <c r="Y25" s="641"/>
      <c r="Z25" s="641"/>
      <c r="AA25" s="641"/>
      <c r="AB25" s="641"/>
    </row>
    <row customHeight="1" ht="15">
      <c r="A26" s="2363"/>
      <c r="B26" s="1384"/>
      <c r="C26" s="634"/>
      <c r="D26" s="1023"/>
      <c r="E26" s="643"/>
      <c r="F26" s="400"/>
      <c r="G26" s="637" t="s">
        <v>98</v>
      </c>
      <c r="H26" s="409"/>
      <c r="I26" s="646"/>
      <c r="J26" s="1863"/>
      <c r="K26" s="1863"/>
      <c r="L26" s="1863"/>
      <c r="M26" s="1863"/>
      <c r="N26" s="1851"/>
      <c r="O26" s="1863"/>
      <c r="P26" s="1384"/>
      <c r="Q26" s="1384"/>
      <c r="R26" s="642"/>
      <c r="S26" s="1384"/>
      <c r="T26" s="1384"/>
      <c r="U26" s="1384"/>
      <c r="V26" s="644"/>
      <c r="W26" s="644"/>
      <c r="X26" s="641"/>
      <c r="Y26" s="641"/>
      <c r="Z26" s="641"/>
      <c r="AA26" s="641"/>
      <c r="AB26" s="641"/>
    </row>
    <row customHeight="1" ht="15">
      <c r="A27" s="2363" t="s">
        <v>88</v>
      </c>
      <c r="B27" s="1384"/>
      <c r="C27" s="1023" t="s">
        <v>100</v>
      </c>
      <c r="D27" s="2045"/>
      <c r="E27" s="2032" t="str">
        <f>A27</f>
        <v>6</v>
      </c>
      <c r="F27" s="1026" t="s">
        <v>119</v>
      </c>
      <c r="G27" s="762" t="str">
        <f>"Территория "&amp;E27</f>
        <v>Территория 6</v>
      </c>
      <c r="H27" s="1014"/>
      <c r="I27" s="1014"/>
      <c r="J27" s="1011"/>
      <c r="K27" s="1851"/>
      <c r="L27" s="1851"/>
      <c r="M27" s="1851"/>
      <c r="N27" s="448"/>
      <c r="O27" s="1851"/>
      <c r="P27" s="447"/>
      <c r="Q27" s="447"/>
      <c r="R27" s="447"/>
      <c r="S27" s="447"/>
      <c r="T27" s="8428"/>
      <c r="U27" s="8428"/>
      <c r="V27" s="8428"/>
      <c r="W27" s="8428"/>
      <c r="X27" s="8428"/>
      <c r="Y27" s="8428"/>
      <c r="Z27" s="8428"/>
      <c r="AA27" s="8428"/>
      <c r="AB27" s="8428"/>
    </row>
    <row customHeight="1" ht="15">
      <c r="A28" s="2363"/>
      <c r="B28" s="1384">
        <v>1</v>
      </c>
      <c r="C28" s="1384"/>
      <c r="D28" s="1022"/>
      <c r="E28" s="2040" t="str">
        <f>A27&amp;"."&amp;B28</f>
        <v>6.1</v>
      </c>
      <c r="F28" s="1025" t="s">
        <v>89</v>
      </c>
      <c r="G28" s="1015" t="s">
        <v>120</v>
      </c>
      <c r="H28" s="1015" t="s">
        <v>120</v>
      </c>
      <c r="I28" s="1013" t="s">
        <v>121</v>
      </c>
      <c r="J28" s="1851"/>
      <c r="K28" s="1863"/>
      <c r="L28" s="1863"/>
      <c r="M28" s="1851" t="str">
        <f t="array" ref="M28:M28">IF(ISERROR(MATCH(MID(N28,1,250),MID(note_ter,1,250),0)),"n","y")</f>
        <v>n</v>
      </c>
      <c r="N28" s="1863"/>
      <c r="O28" s="1851" t="str">
        <f>H28&amp;"("&amp;I28&amp;")"</f>
        <v>Дальнереченский городской округ(05708000)</v>
      </c>
      <c r="P28" s="1384"/>
      <c r="Q28" s="1384"/>
      <c r="R28" s="642"/>
      <c r="S28" s="1384"/>
      <c r="T28" s="1384"/>
      <c r="U28" s="1384"/>
      <c r="V28" s="644"/>
      <c r="W28" s="644"/>
      <c r="X28" s="641"/>
      <c r="Y28" s="641"/>
      <c r="Z28" s="641"/>
      <c r="AA28" s="641"/>
      <c r="AB28" s="641"/>
    </row>
    <row customHeight="1" ht="15">
      <c r="A29" s="2363"/>
      <c r="B29" s="1384"/>
      <c r="C29" s="634"/>
      <c r="D29" s="1023"/>
      <c r="E29" s="643"/>
      <c r="F29" s="400"/>
      <c r="G29" s="637" t="s">
        <v>98</v>
      </c>
      <c r="H29" s="409"/>
      <c r="I29" s="646"/>
      <c r="J29" s="1863"/>
      <c r="K29" s="1863"/>
      <c r="L29" s="1863"/>
      <c r="M29" s="1863"/>
      <c r="N29" s="1851"/>
      <c r="O29" s="1863"/>
      <c r="P29" s="1384"/>
      <c r="Q29" s="1384"/>
      <c r="R29" s="642"/>
      <c r="S29" s="1384"/>
      <c r="T29" s="1384"/>
      <c r="U29" s="1384"/>
      <c r="V29" s="644"/>
      <c r="W29" s="644"/>
      <c r="X29" s="641"/>
      <c r="Y29" s="641"/>
      <c r="Z29" s="641"/>
      <c r="AA29" s="641"/>
      <c r="AB29" s="641"/>
    </row>
    <row customHeight="1" ht="15">
      <c r="A30" s="2363" t="s">
        <v>89</v>
      </c>
      <c r="B30" s="1384"/>
      <c r="C30" s="1023" t="s">
        <v>100</v>
      </c>
      <c r="D30" s="2045"/>
      <c r="E30" s="2032" t="str">
        <f>A30</f>
        <v>7</v>
      </c>
      <c r="F30" s="1026" t="s">
        <v>122</v>
      </c>
      <c r="G30" s="762" t="str">
        <f>"Территория "&amp;E30</f>
        <v>Территория 7</v>
      </c>
      <c r="H30" s="1014"/>
      <c r="I30" s="1014"/>
      <c r="J30" s="1011"/>
      <c r="K30" s="1851"/>
      <c r="L30" s="1851"/>
      <c r="M30" s="1851"/>
      <c r="N30" s="448"/>
      <c r="O30" s="1851"/>
      <c r="P30" s="447"/>
      <c r="Q30" s="447"/>
      <c r="R30" s="447"/>
      <c r="S30" s="447"/>
      <c r="T30" s="8428"/>
      <c r="U30" s="8428"/>
      <c r="V30" s="8428"/>
      <c r="W30" s="8428"/>
      <c r="X30" s="8428"/>
      <c r="Y30" s="8428"/>
      <c r="Z30" s="8428"/>
      <c r="AA30" s="8428"/>
      <c r="AB30" s="8428"/>
    </row>
    <row customHeight="1" ht="15">
      <c r="A31" s="2363"/>
      <c r="B31" s="1384">
        <v>1</v>
      </c>
      <c r="C31" s="1384"/>
      <c r="D31" s="1022"/>
      <c r="E31" s="2040" t="str">
        <f>A30&amp;"."&amp;B31</f>
        <v>7.1</v>
      </c>
      <c r="F31" s="1025" t="s">
        <v>123</v>
      </c>
      <c r="G31" s="1015" t="s">
        <v>124</v>
      </c>
      <c r="H31" s="1015" t="s">
        <v>124</v>
      </c>
      <c r="I31" s="1013" t="s">
        <v>125</v>
      </c>
      <c r="J31" s="1851"/>
      <c r="K31" s="1863"/>
      <c r="L31" s="1863"/>
      <c r="M31" s="1851" t="str">
        <f t="array" ref="M31:M31">IF(ISERROR(MATCH(MID(N31,1,250),MID(note_ter,1,250),0)),"n","y")</f>
        <v>n</v>
      </c>
      <c r="N31" s="1863"/>
      <c r="O31" s="1851" t="str">
        <f>H31&amp;"("&amp;I31&amp;")"</f>
        <v>Лесозаводский городской округ(05711000)</v>
      </c>
      <c r="P31" s="1384"/>
      <c r="Q31" s="1384"/>
      <c r="R31" s="642"/>
      <c r="S31" s="1384"/>
      <c r="T31" s="1384"/>
      <c r="U31" s="1384"/>
      <c r="V31" s="644"/>
      <c r="W31" s="644"/>
      <c r="X31" s="641"/>
      <c r="Y31" s="641"/>
      <c r="Z31" s="641"/>
      <c r="AA31" s="641"/>
      <c r="AB31" s="641"/>
    </row>
    <row customHeight="1" ht="15">
      <c r="A32" s="2363"/>
      <c r="B32" s="1384"/>
      <c r="C32" s="634"/>
      <c r="D32" s="1023"/>
      <c r="E32" s="643"/>
      <c r="F32" s="400"/>
      <c r="G32" s="637" t="s">
        <v>98</v>
      </c>
      <c r="H32" s="409"/>
      <c r="I32" s="646"/>
      <c r="J32" s="1863"/>
      <c r="K32" s="1863"/>
      <c r="L32" s="1863"/>
      <c r="M32" s="1863"/>
      <c r="N32" s="1851"/>
      <c r="O32" s="1863"/>
      <c r="P32" s="1384"/>
      <c r="Q32" s="1384"/>
      <c r="R32" s="642"/>
      <c r="S32" s="1384"/>
      <c r="T32" s="1384"/>
      <c r="U32" s="1384"/>
      <c r="V32" s="644"/>
      <c r="W32" s="644"/>
      <c r="X32" s="641"/>
      <c r="Y32" s="641"/>
      <c r="Z32" s="641"/>
      <c r="AA32" s="641"/>
      <c r="AB32" s="641"/>
    </row>
    <row customHeight="1" ht="15">
      <c r="A33" s="2363" t="s">
        <v>126</v>
      </c>
      <c r="B33" s="1384"/>
      <c r="C33" s="1023" t="s">
        <v>100</v>
      </c>
      <c r="D33" s="2045"/>
      <c r="E33" s="2032" t="str">
        <f>A33</f>
        <v>8</v>
      </c>
      <c r="F33" s="1026" t="s">
        <v>127</v>
      </c>
      <c r="G33" s="762" t="str">
        <f>"Территория "&amp;E33</f>
        <v>Территория 8</v>
      </c>
      <c r="H33" s="1014"/>
      <c r="I33" s="1014"/>
      <c r="J33" s="1011"/>
      <c r="K33" s="1851"/>
      <c r="L33" s="1851"/>
      <c r="M33" s="1851"/>
      <c r="N33" s="448"/>
      <c r="O33" s="1851"/>
      <c r="P33" s="447"/>
      <c r="Q33" s="447"/>
      <c r="R33" s="447"/>
      <c r="S33" s="447"/>
      <c r="T33" s="8428"/>
      <c r="U33" s="8428"/>
      <c r="V33" s="8428"/>
      <c r="W33" s="8428"/>
      <c r="X33" s="8428"/>
      <c r="Y33" s="8428"/>
      <c r="Z33" s="8428"/>
      <c r="AA33" s="8428"/>
      <c r="AB33" s="8428"/>
    </row>
    <row customHeight="1" ht="15">
      <c r="A34" s="2363"/>
      <c r="B34" s="1384">
        <v>1</v>
      </c>
      <c r="C34" s="1384"/>
      <c r="D34" s="1022"/>
      <c r="E34" s="2040" t="str">
        <f>A33&amp;"."&amp;B34</f>
        <v>8.1</v>
      </c>
      <c r="F34" s="1025" t="s">
        <v>128</v>
      </c>
      <c r="G34" s="1015" t="s">
        <v>129</v>
      </c>
      <c r="H34" s="1015" t="s">
        <v>129</v>
      </c>
      <c r="I34" s="1013" t="s">
        <v>130</v>
      </c>
      <c r="J34" s="1851"/>
      <c r="K34" s="1863"/>
      <c r="L34" s="1863"/>
      <c r="M34" s="1851" t="str">
        <f t="array" ref="M34:M34">IF(ISERROR(MATCH(MID(N34,1,250),MID(note_ter,1,250),0)),"n","y")</f>
        <v>n</v>
      </c>
      <c r="N34" s="1863"/>
      <c r="O34" s="1851" t="str">
        <f>H34&amp;"("&amp;I34&amp;")"</f>
        <v>Пожарский муниципальный округ(05534000)</v>
      </c>
      <c r="P34" s="1384"/>
      <c r="Q34" s="1384"/>
      <c r="R34" s="642"/>
      <c r="S34" s="1384"/>
      <c r="T34" s="1384"/>
      <c r="U34" s="1384"/>
      <c r="V34" s="644"/>
      <c r="W34" s="644"/>
      <c r="X34" s="641"/>
      <c r="Y34" s="641"/>
      <c r="Z34" s="641"/>
      <c r="AA34" s="641"/>
      <c r="AB34" s="641"/>
    </row>
    <row customHeight="1" ht="15">
      <c r="A35" s="2363"/>
      <c r="B35" s="1384"/>
      <c r="C35" s="634"/>
      <c r="D35" s="1023"/>
      <c r="E35" s="643"/>
      <c r="F35" s="400"/>
      <c r="G35" s="637" t="s">
        <v>98</v>
      </c>
      <c r="H35" s="409"/>
      <c r="I35" s="646"/>
      <c r="J35" s="1863"/>
      <c r="K35" s="1863"/>
      <c r="L35" s="1863"/>
      <c r="M35" s="1863"/>
      <c r="N35" s="1851"/>
      <c r="O35" s="1863"/>
      <c r="P35" s="1384"/>
      <c r="Q35" s="1384"/>
      <c r="R35" s="642"/>
      <c r="S35" s="1384"/>
      <c r="T35" s="1384"/>
      <c r="U35" s="1384"/>
      <c r="V35" s="644"/>
      <c r="W35" s="644"/>
      <c r="X35" s="641"/>
      <c r="Y35" s="641"/>
      <c r="Z35" s="641"/>
      <c r="AA35" s="641"/>
      <c r="AB35" s="641"/>
    </row>
    <row customHeight="1" ht="15">
      <c r="A36" s="2363" t="s">
        <v>131</v>
      </c>
      <c r="B36" s="1384"/>
      <c r="C36" s="1023" t="s">
        <v>100</v>
      </c>
      <c r="D36" s="2045"/>
      <c r="E36" s="2032" t="str">
        <f>A36</f>
        <v>9</v>
      </c>
      <c r="F36" s="1026" t="s">
        <v>132</v>
      </c>
      <c r="G36" s="762" t="str">
        <f>"Территория "&amp;E36</f>
        <v>Территория 9</v>
      </c>
      <c r="H36" s="1014"/>
      <c r="I36" s="1014"/>
      <c r="J36" s="1011"/>
      <c r="K36" s="1851"/>
      <c r="L36" s="1851"/>
      <c r="M36" s="1851"/>
      <c r="N36" s="448"/>
      <c r="O36" s="1851"/>
      <c r="P36" s="447"/>
      <c r="Q36" s="447"/>
      <c r="R36" s="447"/>
      <c r="S36" s="447"/>
      <c r="T36" s="8428"/>
      <c r="U36" s="8428"/>
      <c r="V36" s="8428"/>
      <c r="W36" s="8428"/>
      <c r="X36" s="8428"/>
      <c r="Y36" s="8428"/>
      <c r="Z36" s="8428"/>
      <c r="AA36" s="8428"/>
      <c r="AB36" s="8428"/>
    </row>
    <row customHeight="1" ht="15">
      <c r="A37" s="2363"/>
      <c r="B37" s="1384">
        <v>1</v>
      </c>
      <c r="C37" s="1384"/>
      <c r="D37" s="1022"/>
      <c r="E37" s="2040" t="str">
        <f>A36&amp;"."&amp;B37</f>
        <v>9.1</v>
      </c>
      <c r="F37" s="1025" t="s">
        <v>133</v>
      </c>
      <c r="G37" s="1015" t="s">
        <v>134</v>
      </c>
      <c r="H37" s="1015" t="s">
        <v>134</v>
      </c>
      <c r="I37" s="1013" t="s">
        <v>135</v>
      </c>
      <c r="J37" s="1851"/>
      <c r="K37" s="1863"/>
      <c r="L37" s="1863"/>
      <c r="M37" s="1851" t="str">
        <f t="array" ref="M37:M37">IF(ISERROR(MATCH(MID(N37,1,250),MID(note_ter,1,250),0)),"n","y")</f>
        <v>n</v>
      </c>
      <c r="N37" s="1863"/>
      <c r="O37" s="1851" t="str">
        <f>H37&amp;"("&amp;I37&amp;")"</f>
        <v>Находкинский городской округ(05714000)</v>
      </c>
      <c r="P37" s="1384"/>
      <c r="Q37" s="1384"/>
      <c r="R37" s="642"/>
      <c r="S37" s="1384"/>
      <c r="T37" s="1384"/>
      <c r="U37" s="1384"/>
      <c r="V37" s="644"/>
      <c r="W37" s="644"/>
      <c r="X37" s="641"/>
      <c r="Y37" s="641"/>
      <c r="Z37" s="641"/>
      <c r="AA37" s="641"/>
      <c r="AB37" s="641"/>
    </row>
    <row customHeight="1" ht="15">
      <c r="A38" s="2363"/>
      <c r="B38" s="1384"/>
      <c r="C38" s="634"/>
      <c r="D38" s="1023"/>
      <c r="E38" s="643"/>
      <c r="F38" s="400"/>
      <c r="G38" s="637" t="s">
        <v>98</v>
      </c>
      <c r="H38" s="409"/>
      <c r="I38" s="646"/>
      <c r="J38" s="1863"/>
      <c r="K38" s="1863"/>
      <c r="L38" s="1863"/>
      <c r="M38" s="1863"/>
      <c r="N38" s="1851"/>
      <c r="O38" s="1863"/>
      <c r="P38" s="1384"/>
      <c r="Q38" s="1384"/>
      <c r="R38" s="642"/>
      <c r="S38" s="1384"/>
      <c r="T38" s="1384"/>
      <c r="U38" s="1384"/>
      <c r="V38" s="644"/>
      <c r="W38" s="644"/>
      <c r="X38" s="641"/>
      <c r="Y38" s="641"/>
      <c r="Z38" s="641"/>
      <c r="AA38" s="641"/>
      <c r="AB38" s="641"/>
    </row>
    <row customHeight="1" ht="15">
      <c r="A39" s="2363" t="s">
        <v>136</v>
      </c>
      <c r="B39" s="1384"/>
      <c r="C39" s="1023" t="s">
        <v>100</v>
      </c>
      <c r="D39" s="2045"/>
      <c r="E39" s="2032" t="str">
        <f>A39</f>
        <v>10</v>
      </c>
      <c r="F39" s="1026" t="s">
        <v>137</v>
      </c>
      <c r="G39" s="762" t="str">
        <f>"Территория "&amp;E39</f>
        <v>Территория 10</v>
      </c>
      <c r="H39" s="1014"/>
      <c r="I39" s="1014"/>
      <c r="J39" s="1011"/>
      <c r="K39" s="1851"/>
      <c r="L39" s="1851"/>
      <c r="M39" s="1851"/>
      <c r="N39" s="448"/>
      <c r="O39" s="1851"/>
      <c r="P39" s="447"/>
      <c r="Q39" s="447"/>
      <c r="R39" s="447"/>
      <c r="S39" s="447"/>
      <c r="T39" s="8428"/>
      <c r="U39" s="8428"/>
      <c r="V39" s="8428"/>
      <c r="W39" s="8428"/>
      <c r="X39" s="8428"/>
      <c r="Y39" s="8428"/>
      <c r="Z39" s="8428"/>
      <c r="AA39" s="8428"/>
      <c r="AB39" s="8428"/>
    </row>
    <row customHeight="1" ht="15">
      <c r="A40" s="2363"/>
      <c r="B40" s="1384">
        <v>1</v>
      </c>
      <c r="C40" s="1384"/>
      <c r="D40" s="1022"/>
      <c r="E40" s="2040" t="str">
        <f>A39&amp;"."&amp;B40</f>
        <v>10.1</v>
      </c>
      <c r="F40" s="1025" t="s">
        <v>138</v>
      </c>
      <c r="G40" s="1015" t="s">
        <v>139</v>
      </c>
      <c r="H40" s="1015" t="s">
        <v>139</v>
      </c>
      <c r="I40" s="1013" t="s">
        <v>140</v>
      </c>
      <c r="J40" s="1851"/>
      <c r="K40" s="1863"/>
      <c r="L40" s="1863"/>
      <c r="M40" s="1851" t="str">
        <f t="array" ref="M40:M40">IF(ISERROR(MATCH(MID(N40,1,250),MID(note_ter,1,250),0)),"n","y")</f>
        <v>n</v>
      </c>
      <c r="N40" s="1863"/>
      <c r="O40" s="1851" t="str">
        <f>H40&amp;"("&amp;I40&amp;")"</f>
        <v>Лазовский муниципальный округ(05517000)</v>
      </c>
      <c r="P40" s="1384"/>
      <c r="Q40" s="1384"/>
      <c r="R40" s="642"/>
      <c r="S40" s="1384"/>
      <c r="T40" s="1384"/>
      <c r="U40" s="1384"/>
      <c r="V40" s="644"/>
      <c r="W40" s="644"/>
      <c r="X40" s="641"/>
      <c r="Y40" s="641"/>
      <c r="Z40" s="641"/>
      <c r="AA40" s="641"/>
      <c r="AB40" s="641"/>
    </row>
    <row customHeight="1" ht="15">
      <c r="A41" s="2363"/>
      <c r="B41" s="1384"/>
      <c r="C41" s="634"/>
      <c r="D41" s="1023"/>
      <c r="E41" s="643"/>
      <c r="F41" s="400"/>
      <c r="G41" s="637" t="s">
        <v>98</v>
      </c>
      <c r="H41" s="409"/>
      <c r="I41" s="646"/>
      <c r="J41" s="1863"/>
      <c r="K41" s="1863"/>
      <c r="L41" s="1863"/>
      <c r="M41" s="1863"/>
      <c r="N41" s="1851"/>
      <c r="O41" s="1863"/>
      <c r="P41" s="1384"/>
      <c r="Q41" s="1384"/>
      <c r="R41" s="642"/>
      <c r="S41" s="1384"/>
      <c r="T41" s="1384"/>
      <c r="U41" s="1384"/>
      <c r="V41" s="644"/>
      <c r="W41" s="644"/>
      <c r="X41" s="641"/>
      <c r="Y41" s="641"/>
      <c r="Z41" s="641"/>
      <c r="AA41" s="641"/>
      <c r="AB41" s="641"/>
    </row>
    <row customHeight="1" ht="15">
      <c r="A42" s="2363" t="s">
        <v>141</v>
      </c>
      <c r="B42" s="1384"/>
      <c r="C42" s="1023" t="s">
        <v>100</v>
      </c>
      <c r="D42" s="2045"/>
      <c r="E42" s="2032" t="str">
        <f>A42</f>
        <v>11</v>
      </c>
      <c r="F42" s="1026" t="s">
        <v>142</v>
      </c>
      <c r="G42" s="762" t="str">
        <f>"Территория "&amp;E42</f>
        <v>Территория 11</v>
      </c>
      <c r="H42" s="1014"/>
      <c r="I42" s="1014"/>
      <c r="J42" s="1011"/>
      <c r="K42" s="1851"/>
      <c r="L42" s="1851"/>
      <c r="M42" s="1851"/>
      <c r="N42" s="448"/>
      <c r="O42" s="1851"/>
      <c r="P42" s="447"/>
      <c r="Q42" s="447"/>
      <c r="R42" s="447"/>
      <c r="S42" s="447"/>
      <c r="T42" s="8428"/>
      <c r="U42" s="8428"/>
      <c r="V42" s="8428"/>
      <c r="W42" s="8428"/>
      <c r="X42" s="8428"/>
      <c r="Y42" s="8428"/>
      <c r="Z42" s="8428"/>
      <c r="AA42" s="8428"/>
      <c r="AB42" s="8428"/>
    </row>
    <row customHeight="1" ht="15">
      <c r="A43" s="2363"/>
      <c r="B43" s="1384">
        <v>1</v>
      </c>
      <c r="C43" s="1384"/>
      <c r="D43" s="1022"/>
      <c r="E43" s="2040" t="str">
        <f>A42&amp;"."&amp;B43</f>
        <v>11.1</v>
      </c>
      <c r="F43" s="1025" t="s">
        <v>143</v>
      </c>
      <c r="G43" s="1015" t="s">
        <v>144</v>
      </c>
      <c r="H43" s="1015" t="s">
        <v>145</v>
      </c>
      <c r="I43" s="1013" t="s">
        <v>146</v>
      </c>
      <c r="J43" s="1851"/>
      <c r="K43" s="1863"/>
      <c r="L43" s="1863"/>
      <c r="M43" s="1851" t="str">
        <f t="array" ref="M43:M43">IF(ISERROR(MATCH(MID(N43,1,250),MID(note_ter,1,250),0)),"n","y")</f>
        <v>n</v>
      </c>
      <c r="N43" s="1863"/>
      <c r="O43" s="1851" t="str">
        <f>H43&amp;"("&amp;I43&amp;")"</f>
        <v>Екатериновское сельское поселение(05630404)</v>
      </c>
      <c r="P43" s="1384"/>
      <c r="Q43" s="1384"/>
      <c r="R43" s="642"/>
      <c r="S43" s="1384"/>
      <c r="T43" s="1384"/>
      <c r="U43" s="1384"/>
      <c r="V43" s="644"/>
      <c r="W43" s="644"/>
      <c r="X43" s="641"/>
      <c r="Y43" s="641"/>
      <c r="Z43" s="641"/>
      <c r="AA43" s="641"/>
      <c r="AB43" s="641"/>
    </row>
    <row customHeight="1" ht="15">
      <c r="A44" s="2363"/>
      <c r="B44" s="1384"/>
      <c r="C44" s="634"/>
      <c r="D44" s="1023"/>
      <c r="E44" s="643"/>
      <c r="F44" s="400"/>
      <c r="G44" s="637" t="s">
        <v>98</v>
      </c>
      <c r="H44" s="409"/>
      <c r="I44" s="646"/>
      <c r="J44" s="1863"/>
      <c r="K44" s="1863"/>
      <c r="L44" s="1863"/>
      <c r="M44" s="1863"/>
      <c r="N44" s="1851"/>
      <c r="O44" s="1863"/>
      <c r="P44" s="1384"/>
      <c r="Q44" s="1384"/>
      <c r="R44" s="642"/>
      <c r="S44" s="1384"/>
      <c r="T44" s="1384"/>
      <c r="U44" s="1384"/>
      <c r="V44" s="644"/>
      <c r="W44" s="644"/>
      <c r="X44" s="641"/>
      <c r="Y44" s="641"/>
      <c r="Z44" s="641"/>
      <c r="AA44" s="641"/>
      <c r="AB44" s="641"/>
    </row>
    <row customHeight="1" ht="15">
      <c r="A45" s="2363" t="s">
        <v>147</v>
      </c>
      <c r="B45" s="1384"/>
      <c r="C45" s="1023" t="s">
        <v>100</v>
      </c>
      <c r="D45" s="2045"/>
      <c r="E45" s="2032" t="str">
        <f>A45</f>
        <v>12</v>
      </c>
      <c r="F45" s="1026" t="s">
        <v>148</v>
      </c>
      <c r="G45" s="762" t="str">
        <f>"Территория "&amp;E45</f>
        <v>Территория 12</v>
      </c>
      <c r="H45" s="1014"/>
      <c r="I45" s="1014"/>
      <c r="J45" s="1011"/>
      <c r="K45" s="1851"/>
      <c r="L45" s="1851"/>
      <c r="M45" s="1851"/>
      <c r="N45" s="448"/>
      <c r="O45" s="1851"/>
      <c r="P45" s="447"/>
      <c r="Q45" s="447"/>
      <c r="R45" s="447"/>
      <c r="S45" s="447"/>
      <c r="T45" s="8428"/>
      <c r="U45" s="8428"/>
      <c r="V45" s="8428"/>
      <c r="W45" s="8428"/>
      <c r="X45" s="8428"/>
      <c r="Y45" s="8428"/>
      <c r="Z45" s="8428"/>
      <c r="AA45" s="8428"/>
      <c r="AB45" s="8428"/>
    </row>
    <row customHeight="1" ht="15">
      <c r="A46" s="2363"/>
      <c r="B46" s="1384">
        <v>1</v>
      </c>
      <c r="C46" s="1384"/>
      <c r="D46" s="1022"/>
      <c r="E46" s="2040" t="str">
        <f>A45&amp;"."&amp;B46</f>
        <v>12.1</v>
      </c>
      <c r="F46" s="1025" t="s">
        <v>113</v>
      </c>
      <c r="G46" s="1015" t="s">
        <v>149</v>
      </c>
      <c r="H46" s="1015" t="s">
        <v>149</v>
      </c>
      <c r="I46" s="1013" t="s">
        <v>150</v>
      </c>
      <c r="J46" s="1851"/>
      <c r="K46" s="1863"/>
      <c r="L46" s="1863"/>
      <c r="M46" s="1851" t="str">
        <f t="array" ref="M46:M46">IF(ISERROR(MATCH(MID(N46,1,250),MID(note_ter,1,250),0)),"n","y")</f>
        <v>n</v>
      </c>
      <c r="N46" s="1863"/>
      <c r="O46" s="1851" t="str">
        <f>H46&amp;"("&amp;I46&amp;")"</f>
        <v>Городской округ Спасск-Дальний(05720000)</v>
      </c>
      <c r="P46" s="1384"/>
      <c r="Q46" s="1384"/>
      <c r="R46" s="642"/>
      <c r="S46" s="1384"/>
      <c r="T46" s="1384"/>
      <c r="U46" s="1384"/>
      <c r="V46" s="644"/>
      <c r="W46" s="644"/>
      <c r="X46" s="641"/>
      <c r="Y46" s="641"/>
      <c r="Z46" s="641"/>
      <c r="AA46" s="641"/>
      <c r="AB46" s="641"/>
    </row>
    <row customHeight="1" ht="15">
      <c r="A47" s="2363"/>
      <c r="B47" s="1384"/>
      <c r="C47" s="634"/>
      <c r="D47" s="1023"/>
      <c r="E47" s="643"/>
      <c r="F47" s="400"/>
      <c r="G47" s="637" t="s">
        <v>98</v>
      </c>
      <c r="H47" s="409"/>
      <c r="I47" s="646"/>
      <c r="J47" s="1863"/>
      <c r="K47" s="1863"/>
      <c r="L47" s="1863"/>
      <c r="M47" s="1863"/>
      <c r="N47" s="1851"/>
      <c r="O47" s="1863"/>
      <c r="P47" s="1384"/>
      <c r="Q47" s="1384"/>
      <c r="R47" s="642"/>
      <c r="S47" s="1384"/>
      <c r="T47" s="1384"/>
      <c r="U47" s="1384"/>
      <c r="V47" s="644"/>
      <c r="W47" s="644"/>
      <c r="X47" s="641"/>
      <c r="Y47" s="641"/>
      <c r="Z47" s="641"/>
      <c r="AA47" s="641"/>
      <c r="AB47" s="641"/>
    </row>
    <row customHeight="1" ht="15">
      <c r="A48" s="2363" t="s">
        <v>151</v>
      </c>
      <c r="B48" s="1384"/>
      <c r="C48" s="1023" t="s">
        <v>100</v>
      </c>
      <c r="D48" s="2045"/>
      <c r="E48" s="2032" t="str">
        <f>A48</f>
        <v>13</v>
      </c>
      <c r="F48" s="1026" t="s">
        <v>152</v>
      </c>
      <c r="G48" s="762" t="str">
        <f>"Территория "&amp;E48</f>
        <v>Территория 13</v>
      </c>
      <c r="H48" s="1014"/>
      <c r="I48" s="1014"/>
      <c r="J48" s="1011"/>
      <c r="K48" s="1851"/>
      <c r="L48" s="1851"/>
      <c r="M48" s="1851"/>
      <c r="N48" s="448"/>
      <c r="O48" s="1851"/>
      <c r="P48" s="447"/>
      <c r="Q48" s="447"/>
      <c r="R48" s="447"/>
      <c r="S48" s="447"/>
      <c r="T48" s="8428"/>
      <c r="U48" s="8428"/>
      <c r="V48" s="8428"/>
      <c r="W48" s="8428"/>
      <c r="X48" s="8428"/>
      <c r="Y48" s="8428"/>
      <c r="Z48" s="8428"/>
      <c r="AA48" s="8428"/>
      <c r="AB48" s="8428"/>
    </row>
    <row customHeight="1" ht="15">
      <c r="A49" s="2363"/>
      <c r="B49" s="1384">
        <v>1</v>
      </c>
      <c r="C49" s="1384"/>
      <c r="D49" s="1022"/>
      <c r="E49" s="2040" t="str">
        <f>A48&amp;"."&amp;B49</f>
        <v>13.1</v>
      </c>
      <c r="F49" s="1025" t="s">
        <v>153</v>
      </c>
      <c r="G49" s="1015" t="s">
        <v>154</v>
      </c>
      <c r="H49" s="1015" t="s">
        <v>154</v>
      </c>
      <c r="I49" s="1013" t="s">
        <v>155</v>
      </c>
      <c r="J49" s="1851"/>
      <c r="K49" s="1863"/>
      <c r="L49" s="1863"/>
      <c r="M49" s="1851" t="str">
        <f t="array" ref="M49:M49">IF(ISERROR(MATCH(MID(N49,1,250),MID(note_ter,1,250),0)),"n","y")</f>
        <v>n</v>
      </c>
      <c r="N49" s="1863"/>
      <c r="O49" s="1851" t="str">
        <f>H49&amp;"("&amp;I49&amp;")"</f>
        <v>Черниговский муниципальный округ(05553000)</v>
      </c>
      <c r="P49" s="1384"/>
      <c r="Q49" s="1384"/>
      <c r="R49" s="642"/>
      <c r="S49" s="1384"/>
      <c r="T49" s="1384"/>
      <c r="U49" s="1384"/>
      <c r="V49" s="644"/>
      <c r="W49" s="644"/>
      <c r="X49" s="641"/>
      <c r="Y49" s="641"/>
      <c r="Z49" s="641"/>
      <c r="AA49" s="641"/>
      <c r="AB49" s="641"/>
    </row>
    <row customHeight="1" ht="15">
      <c r="A50" s="2363"/>
      <c r="B50" s="1384"/>
      <c r="C50" s="634"/>
      <c r="D50" s="1023"/>
      <c r="E50" s="643"/>
      <c r="F50" s="400"/>
      <c r="G50" s="637" t="s">
        <v>98</v>
      </c>
      <c r="H50" s="409"/>
      <c r="I50" s="646"/>
      <c r="J50" s="1863"/>
      <c r="K50" s="1863"/>
      <c r="L50" s="1863"/>
      <c r="M50" s="1863"/>
      <c r="N50" s="1851"/>
      <c r="O50" s="1863"/>
      <c r="P50" s="1384"/>
      <c r="Q50" s="1384"/>
      <c r="R50" s="642"/>
      <c r="S50" s="1384"/>
      <c r="T50" s="1384"/>
      <c r="U50" s="1384"/>
      <c r="V50" s="644"/>
      <c r="W50" s="644"/>
      <c r="X50" s="641"/>
      <c r="Y50" s="641"/>
      <c r="Z50" s="641"/>
      <c r="AA50" s="641"/>
      <c r="AB50" s="641"/>
    </row>
    <row customHeight="1" ht="15">
      <c r="A51" s="2363" t="s">
        <v>156</v>
      </c>
      <c r="B51" s="1384"/>
      <c r="C51" s="1023" t="s">
        <v>100</v>
      </c>
      <c r="D51" s="2045"/>
      <c r="E51" s="2032" t="str">
        <f>A51</f>
        <v>14</v>
      </c>
      <c r="F51" s="1026" t="s">
        <v>157</v>
      </c>
      <c r="G51" s="762" t="str">
        <f>"Территория "&amp;E51</f>
        <v>Территория 14</v>
      </c>
      <c r="H51" s="1014"/>
      <c r="I51" s="1014"/>
      <c r="J51" s="1011"/>
      <c r="K51" s="1851"/>
      <c r="L51" s="1851"/>
      <c r="M51" s="1851"/>
      <c r="N51" s="448"/>
      <c r="O51" s="1851"/>
      <c r="P51" s="447"/>
      <c r="Q51" s="447"/>
      <c r="R51" s="447"/>
      <c r="S51" s="447"/>
      <c r="T51" s="8428"/>
      <c r="U51" s="8428"/>
      <c r="V51" s="8428"/>
      <c r="W51" s="8428"/>
      <c r="X51" s="8428"/>
      <c r="Y51" s="8428"/>
      <c r="Z51" s="8428"/>
      <c r="AA51" s="8428"/>
      <c r="AB51" s="8428"/>
    </row>
    <row customHeight="1" ht="15">
      <c r="A52" s="2363"/>
      <c r="B52" s="1384">
        <v>1</v>
      </c>
      <c r="C52" s="1384"/>
      <c r="D52" s="1022"/>
      <c r="E52" s="2040" t="str">
        <f>A51&amp;"."&amp;B52</f>
        <v>14.1</v>
      </c>
      <c r="F52" s="1025" t="s">
        <v>158</v>
      </c>
      <c r="G52" s="1015" t="s">
        <v>159</v>
      </c>
      <c r="H52" s="1015" t="s">
        <v>160</v>
      </c>
      <c r="I52" s="1013" t="s">
        <v>161</v>
      </c>
      <c r="J52" s="1851"/>
      <c r="K52" s="1863"/>
      <c r="L52" s="1863"/>
      <c r="M52" s="1851" t="str">
        <f t="array" ref="M52:M52">IF(ISERROR(MATCH(MID(N52,1,250),MID(note_ter,1,250),0)),"n","y")</f>
        <v>n</v>
      </c>
      <c r="N52" s="1863"/>
      <c r="O52" s="1851" t="str">
        <f>H52&amp;"("&amp;I52&amp;")"</f>
        <v>Сибирцевское городское поселение(05653158)</v>
      </c>
      <c r="P52" s="1384"/>
      <c r="Q52" s="1384"/>
      <c r="R52" s="642"/>
      <c r="S52" s="1384"/>
      <c r="T52" s="1384"/>
      <c r="U52" s="1384"/>
      <c r="V52" s="644"/>
      <c r="W52" s="644"/>
      <c r="X52" s="641"/>
      <c r="Y52" s="641"/>
      <c r="Z52" s="641"/>
      <c r="AA52" s="641"/>
      <c r="AB52" s="641"/>
    </row>
    <row customHeight="1" ht="15">
      <c r="A53" s="2363"/>
      <c r="B53" s="1384"/>
      <c r="C53" s="634"/>
      <c r="D53" s="1023"/>
      <c r="E53" s="643"/>
      <c r="F53" s="400"/>
      <c r="G53" s="637" t="s">
        <v>98</v>
      </c>
      <c r="H53" s="409"/>
      <c r="I53" s="646"/>
      <c r="J53" s="1863"/>
      <c r="K53" s="1863"/>
      <c r="L53" s="1863"/>
      <c r="M53" s="1863"/>
      <c r="N53" s="1851"/>
      <c r="O53" s="1863"/>
      <c r="P53" s="1384"/>
      <c r="Q53" s="1384"/>
      <c r="R53" s="642"/>
      <c r="S53" s="1384"/>
      <c r="T53" s="1384"/>
      <c r="U53" s="1384"/>
      <c r="V53" s="644"/>
      <c r="W53" s="644"/>
      <c r="X53" s="641"/>
      <c r="Y53" s="641"/>
      <c r="Z53" s="641"/>
      <c r="AA53" s="641"/>
      <c r="AB53" s="641"/>
    </row>
    <row s="15781" customFormat="1" customHeight="1" ht="14.25">
      <c r="A54" s="980"/>
      <c r="B54" s="639"/>
      <c r="C54" s="980"/>
      <c r="D54" s="1004"/>
      <c r="E54" s="1016"/>
      <c r="F54" s="401"/>
      <c r="G54" s="638" t="s">
        <v>162</v>
      </c>
      <c r="H54" s="401"/>
      <c r="I54" s="402"/>
      <c r="J54" s="471"/>
      <c r="K54" s="378"/>
      <c r="L54" s="378"/>
      <c r="M54" s="378"/>
      <c r="N54" s="448" t="s">
        <v>163</v>
      </c>
      <c r="O54" s="378"/>
      <c r="P54" s="447"/>
      <c r="Q54" s="447"/>
      <c r="R54" s="447"/>
      <c r="S54" s="447"/>
    </row>
    <row s="15781" customFormat="1" customHeight="1" ht="21">
      <c r="A55" s="980"/>
      <c r="B55" s="639"/>
      <c r="C55" s="980"/>
      <c r="D55" s="388"/>
      <c r="E55" s="403"/>
      <c r="F55" s="403"/>
      <c r="G55" s="403"/>
      <c r="H55" s="403"/>
      <c r="I55" s="403"/>
      <c r="J55" s="378"/>
      <c r="K55" s="378"/>
      <c r="L55" s="378"/>
      <c r="M55" s="378"/>
      <c r="N55" s="448"/>
      <c r="O55" s="378"/>
      <c r="P55" s="447"/>
      <c r="Q55" s="447"/>
      <c r="R55" s="447"/>
      <c r="S55" s="447"/>
    </row>
    <row s="15781" customFormat="1" customHeight="1" ht="14.25">
      <c r="A56" s="980"/>
      <c r="B56" s="639"/>
      <c r="C56" s="980"/>
      <c r="D56" s="388"/>
      <c r="E56" s="305"/>
      <c r="F56" s="980"/>
      <c r="G56" s="305"/>
      <c r="H56" s="305"/>
      <c r="I56" s="305"/>
      <c r="J56" s="378"/>
      <c r="K56" s="378"/>
      <c r="L56" s="378"/>
      <c r="M56" s="378"/>
      <c r="N56" s="448"/>
      <c r="O56" s="378"/>
      <c r="P56" s="447"/>
      <c r="Q56" s="447"/>
      <c r="R56" s="447"/>
      <c r="S56" s="447"/>
    </row>
    <row s="15781" customFormat="1" customHeight="1" ht="0.75">
      <c r="A57" s="980"/>
      <c r="B57" s="639"/>
      <c r="C57" s="980"/>
      <c r="D57" s="388"/>
      <c r="E57" s="305"/>
      <c r="F57" s="980"/>
      <c r="G57" s="305"/>
      <c r="H57" s="305"/>
      <c r="I57" s="305"/>
      <c r="J57" s="378"/>
      <c r="K57" s="378"/>
      <c r="L57" s="378"/>
      <c r="M57" s="378"/>
      <c r="N57" s="448"/>
      <c r="O57" s="378"/>
      <c r="P57" s="447"/>
      <c r="Q57" s="447"/>
      <c r="R57" s="447"/>
      <c r="S57" s="447"/>
    </row>
    <row s="15857" customFormat="1" customHeight="1" ht="10.5">
      <c r="B58" s="1056"/>
      <c r="D58" s="405"/>
      <c r="J58" s="378"/>
      <c r="K58" s="378"/>
      <c r="L58" s="378"/>
      <c r="M58" s="378"/>
      <c r="N58" s="448"/>
      <c r="O58" s="378"/>
      <c r="P58" s="447"/>
      <c r="Q58" s="447"/>
      <c r="R58" s="447"/>
      <c r="S58" s="447"/>
    </row>
    <row s="15857" customFormat="1" customHeight="1" ht="10.5">
      <c r="B59" s="1056"/>
      <c r="D59" s="405"/>
      <c r="J59" s="378"/>
      <c r="K59" s="378"/>
      <c r="L59" s="378"/>
      <c r="M59" s="378"/>
      <c r="N59" s="448"/>
      <c r="O59" s="378"/>
      <c r="P59" s="447"/>
      <c r="Q59" s="447"/>
      <c r="R59" s="447"/>
      <c r="S59" s="447"/>
    </row>
    <row r="63" customHeight="1" ht="14.25">
      <c r="H63" s="283"/>
    </row>
    <row r="67" customHeight="1" ht="14.25">
      <c r="J67" s="305"/>
      <c r="K67" s="305"/>
      <c r="L67" s="305"/>
    </row>
  </sheetData>
  <sheetProtection formatColumns="0" formatRows="0" autoFilter="0" sort="0" insertRows="0" insertColumns="1" deleteRows="0" deleteColumns="0"/>
  <mergeCells count="17">
    <mergeCell ref="A12:A14"/>
    <mergeCell ref="E4:I4"/>
    <mergeCell ref="E8:G8"/>
    <mergeCell ref="H8:I8"/>
    <mergeCell ref="A15:A17"/>
    <mergeCell ref="A18:A20"/>
    <mergeCell ref="A21:A23"/>
    <mergeCell ref="A24:A26"/>
    <mergeCell ref="A27:A29"/>
    <mergeCell ref="A30:A32"/>
    <mergeCell ref="A33:A35"/>
    <mergeCell ref="A36:A38"/>
    <mergeCell ref="A39:A41"/>
    <mergeCell ref="A42:A44"/>
    <mergeCell ref="A45:A47"/>
    <mergeCell ref="A48:A50"/>
    <mergeCell ref="A51:A53"/>
  </mergeCells>
  <dataValidations count="14">
    <dataValidation type="textLength" operator="lessThanOrEqual" allowBlank="1" showInputMessage="1" showErrorMessage="1" errorTitle="Ошибка" error="Допускается ввод не более 900 символов!" sqref="G51">
      <formula1>900</formula1>
    </dataValidation>
    <dataValidation type="textLength" operator="lessThanOrEqual" allowBlank="1" showInputMessage="1" showErrorMessage="1" errorTitle="Ошибка" error="Допускается ввод не более 900 символов!" sqref="G48">
      <formula1>900</formula1>
    </dataValidation>
    <dataValidation type="textLength" operator="lessThanOrEqual" allowBlank="1" showInputMessage="1" showErrorMessage="1" errorTitle="Ошибка" error="Допускается ввод не более 900 символов!" sqref="G45">
      <formula1>900</formula1>
    </dataValidation>
    <dataValidation type="textLength" operator="lessThanOrEqual" allowBlank="1" showInputMessage="1" showErrorMessage="1" errorTitle="Ошибка" error="Допускается ввод не более 900 символов!" sqref="G42">
      <formula1>900</formula1>
    </dataValidation>
    <dataValidation type="textLength" operator="lessThanOrEqual" allowBlank="1" showInputMessage="1" showErrorMessage="1" errorTitle="Ошибка" error="Допускается ввод не более 900 символов!" sqref="G39">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6B1D7D-4CBE-826C-37CA-891EA82CD03D}"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15951" width="6.421875" hidden="1" customWidth="1"/>
    <col min="2" max="2" style="15951" width="2.00390625" hidden="1" customWidth="1"/>
    <col min="3" max="3" style="15951" width="3.7109375" customWidth="1"/>
    <col min="4" max="4" style="15951" width="4.28125" customWidth="1"/>
    <col min="5" max="5" style="15951" width="45.00390625" customWidth="1"/>
    <col min="6" max="6" style="15951" width="6.421875" customWidth="1"/>
    <col min="7" max="7" style="15951" width="4.421875" customWidth="1"/>
    <col min="8" max="8" style="15951" width="5.57421875" customWidth="1"/>
    <col min="9" max="9" style="15951" width="52.8515625" customWidth="1"/>
    <col min="10" max="10" style="15951" width="7.00390625" customWidth="1"/>
    <col min="11" max="11" style="15951" width="3.7109375" customWidth="1"/>
    <col min="12" max="12" style="15951" width="6.28125" customWidth="1"/>
    <col min="13" max="13" style="15951" width="56.28125" customWidth="1"/>
    <col min="14" max="14" style="15952" width="9.140625"/>
    <col min="15" max="20" style="15953" width="9.140625" hidden="1"/>
    <col min="21" max="24" style="15954" width="9.140625" hidden="1"/>
    <col min="25" max="37" style="15952" width="9.140625" hidden="1"/>
    <col min="38" max="38" style="15952" width="9.140625"/>
  </cols>
  <sheetData>
    <row customHeight="1" ht="11.25" hidden="1"/>
    <row customHeight="1" ht="11.25" hidden="1"/>
    <row r="4" customHeight="1" ht="34.5">
      <c r="A4" s="807"/>
      <c r="B4" s="807"/>
      <c r="D4" s="2245"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46"/>
      <c r="F4" s="2246"/>
      <c r="G4" s="2246"/>
      <c r="H4" s="2246"/>
      <c r="I4" s="2247"/>
      <c r="J4" s="806"/>
      <c r="K4" s="806"/>
      <c r="L4" s="806"/>
      <c r="M4" s="806"/>
    </row>
    <row s="15873" customFormat="1" customHeight="1" ht="15">
      <c r="A5" s="807"/>
      <c r="B5" s="807"/>
      <c r="C5" s="807"/>
      <c r="D5" s="2248" t="str">
        <f>IF(org=0,"Не определено",org)</f>
        <v>КГУП "Примтеплоэнерго"</v>
      </c>
      <c r="E5" s="2249"/>
      <c r="F5" s="2249"/>
      <c r="G5" s="2249"/>
      <c r="H5" s="2249"/>
      <c r="I5" s="2250"/>
      <c r="J5" s="808"/>
      <c r="K5" s="808"/>
      <c r="L5" s="808"/>
      <c r="M5" s="808"/>
      <c r="N5" s="808"/>
      <c r="O5" s="1092"/>
      <c r="P5" s="1092"/>
      <c r="Q5" s="1092"/>
      <c r="R5" s="1092"/>
      <c r="S5" s="1092"/>
      <c r="T5" s="1092"/>
      <c r="U5" s="1488"/>
      <c r="V5" s="1488"/>
      <c r="W5" s="1488"/>
      <c r="X5" s="1488"/>
      <c r="Y5" s="808"/>
      <c r="Z5" s="808"/>
      <c r="AA5" s="808"/>
      <c r="AB5" s="808"/>
      <c r="AC5" s="808"/>
      <c r="AD5" s="808"/>
      <c r="AE5" s="808"/>
      <c r="AF5" s="808"/>
      <c r="AG5" s="808"/>
      <c r="AH5" s="808"/>
      <c r="AI5" s="808"/>
      <c r="AJ5" s="808"/>
      <c r="AK5" s="808"/>
      <c r="AL5" s="808"/>
    </row>
    <row s="15880" customFormat="1" customHeight="1" ht="6">
      <c r="A6" s="2251"/>
      <c r="B6" s="2251"/>
      <c r="C6" s="2251"/>
      <c r="D6" s="2251"/>
      <c r="E6" s="2251"/>
      <c r="F6" s="2251"/>
      <c r="G6" s="810"/>
      <c r="H6" s="810"/>
      <c r="I6" s="810"/>
      <c r="J6" s="810"/>
      <c r="K6" s="810"/>
      <c r="N6" s="812"/>
      <c r="O6" s="1641"/>
      <c r="P6" s="1641"/>
      <c r="Q6" s="1641"/>
      <c r="R6" s="1641"/>
      <c r="S6" s="1641"/>
      <c r="T6" s="1641"/>
      <c r="U6" s="1491"/>
      <c r="V6" s="1491"/>
      <c r="W6" s="1491"/>
      <c r="X6" s="1491"/>
      <c r="Y6" s="812"/>
      <c r="Z6" s="812"/>
      <c r="AA6" s="812"/>
      <c r="AB6" s="812"/>
      <c r="AC6" s="812"/>
      <c r="AD6" s="812"/>
      <c r="AE6" s="812"/>
      <c r="AF6" s="812"/>
      <c r="AG6" s="812"/>
      <c r="AH6" s="812"/>
      <c r="AI6" s="812"/>
      <c r="AJ6" s="812"/>
      <c r="AK6" s="812"/>
      <c r="AL6" s="812"/>
    </row>
    <row customHeight="1" ht="45.75" hidden="1">
      <c r="E7" s="22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57"/>
      <c r="G7" s="2257"/>
      <c r="H7" s="2257"/>
      <c r="I7" s="2257"/>
      <c r="J7" s="2257"/>
      <c r="K7" s="2257"/>
      <c r="L7" s="2257"/>
      <c r="M7" s="2257"/>
    </row>
    <row s="15873" customFormat="1" customHeight="1" ht="6">
      <c r="A8" s="813"/>
      <c r="B8" s="813"/>
      <c r="C8" s="813"/>
      <c r="D8" s="813"/>
      <c r="E8" s="813"/>
      <c r="F8" s="813"/>
      <c r="G8" s="813"/>
      <c r="H8" s="813"/>
      <c r="I8" s="813"/>
      <c r="J8" s="813"/>
      <c r="K8" s="813"/>
      <c r="L8" s="813"/>
      <c r="M8" s="811"/>
      <c r="N8" s="808"/>
      <c r="O8" s="1092"/>
      <c r="P8" s="1092"/>
      <c r="Q8" s="1092"/>
      <c r="R8" s="1092"/>
      <c r="S8" s="1092"/>
      <c r="T8" s="1092"/>
      <c r="U8" s="1488"/>
      <c r="V8" s="1488"/>
      <c r="W8" s="1488"/>
      <c r="X8" s="1488"/>
      <c r="Y8" s="808"/>
      <c r="Z8" s="808"/>
      <c r="AA8" s="808"/>
      <c r="AB8" s="808"/>
      <c r="AC8" s="808"/>
      <c r="AD8" s="808"/>
      <c r="AE8" s="808"/>
      <c r="AF8" s="808"/>
      <c r="AG8" s="808"/>
      <c r="AH8" s="808"/>
      <c r="AI8" s="808"/>
      <c r="AJ8" s="808"/>
      <c r="AK8" s="808"/>
      <c r="AL8" s="808"/>
    </row>
    <row customHeight="1" ht="18">
      <c r="A9" s="2252"/>
      <c r="B9" s="545"/>
      <c r="C9" s="545"/>
      <c r="D9" s="2253" t="s">
        <v>164</v>
      </c>
      <c r="E9" s="2253"/>
      <c r="F9" s="2254" t="s">
        <v>165</v>
      </c>
      <c r="G9" s="2255"/>
      <c r="H9" s="2255"/>
      <c r="I9" s="2255"/>
      <c r="J9" s="2258" t="s">
        <v>166</v>
      </c>
      <c r="K9" s="2258"/>
      <c r="L9" s="2258"/>
      <c r="M9" s="2258"/>
    </row>
    <row customHeight="1" ht="22.5">
      <c r="A10" s="2252"/>
      <c r="B10" s="814"/>
      <c r="C10" s="747"/>
      <c r="D10" s="745" t="s">
        <v>84</v>
      </c>
      <c r="E10" s="745" t="s">
        <v>85</v>
      </c>
      <c r="F10" s="745" t="s">
        <v>167</v>
      </c>
      <c r="G10" s="2259" t="s">
        <v>84</v>
      </c>
      <c r="H10" s="2260"/>
      <c r="I10" s="745" t="s">
        <v>85</v>
      </c>
      <c r="J10" s="745" t="s">
        <v>167</v>
      </c>
      <c r="K10" s="2259" t="s">
        <v>84</v>
      </c>
      <c r="L10" s="2260"/>
      <c r="M10" s="745" t="s">
        <v>85</v>
      </c>
      <c r="N10" s="1854"/>
    </row>
    <row s="15902" customFormat="1" customHeight="1" ht="11.25" hidden="1">
      <c r="A11" s="815"/>
      <c r="B11" s="815"/>
      <c r="C11" s="815"/>
      <c r="D11" s="816" t="s">
        <v>168</v>
      </c>
      <c r="E11" s="816" t="s">
        <v>99</v>
      </c>
      <c r="F11" s="816" t="s">
        <v>86</v>
      </c>
      <c r="G11" s="2241" t="s">
        <v>87</v>
      </c>
      <c r="H11" s="2242"/>
      <c r="I11" s="816" t="s">
        <v>113</v>
      </c>
      <c r="J11" s="816" t="s">
        <v>88</v>
      </c>
      <c r="K11" s="2243" t="s">
        <v>89</v>
      </c>
      <c r="L11" s="2244"/>
      <c r="M11" s="816" t="s">
        <v>126</v>
      </c>
      <c r="N11" s="1853"/>
      <c r="O11" s="1640"/>
      <c r="P11" s="1642"/>
      <c r="Q11" s="1642"/>
      <c r="R11" s="1642"/>
      <c r="S11" s="1642"/>
      <c r="T11" s="1642"/>
      <c r="U11" s="1492"/>
      <c r="V11" s="1492"/>
      <c r="W11" s="1492"/>
      <c r="X11" s="1492"/>
      <c r="Y11" s="817"/>
      <c r="Z11" s="817"/>
      <c r="AA11" s="817"/>
      <c r="AB11" s="817"/>
      <c r="AC11" s="817"/>
      <c r="AD11" s="817"/>
      <c r="AE11" s="817"/>
      <c r="AF11" s="817"/>
      <c r="AG11" s="817"/>
      <c r="AH11" s="817"/>
      <c r="AI11" s="817"/>
      <c r="AJ11" s="817"/>
      <c r="AK11" s="817"/>
      <c r="AL11" s="817"/>
    </row>
    <row customHeight="1" ht="0.75">
      <c r="A12" s="819"/>
      <c r="B12" s="820"/>
      <c r="C12" s="820"/>
      <c r="D12" s="821"/>
      <c r="E12" s="589"/>
      <c r="F12" s="822"/>
      <c r="G12" s="1282"/>
      <c r="H12" s="1282"/>
      <c r="I12" s="822"/>
      <c r="J12" s="822"/>
      <c r="K12" s="397"/>
      <c r="L12" s="589"/>
      <c r="M12" s="823"/>
      <c r="N12" s="1854"/>
      <c r="O12" s="1640" t="s">
        <v>169</v>
      </c>
      <c r="P12" s="1640" t="s">
        <v>170</v>
      </c>
      <c r="Q12" s="1640" t="s">
        <v>171</v>
      </c>
      <c r="R12" s="1640" t="s">
        <v>172</v>
      </c>
    </row>
    <row s="15922" customFormat="1" customHeight="1" ht="15">
      <c r="A13" s="515"/>
      <c r="B13" s="515"/>
      <c r="C13" s="748"/>
      <c r="D13" s="2264" t="s">
        <v>168</v>
      </c>
      <c r="E13" s="2265"/>
      <c r="F13" s="2268" t="s">
        <v>63</v>
      </c>
      <c r="G13" s="2269"/>
      <c r="H13" s="2270">
        <v>1</v>
      </c>
      <c r="I13" s="2261" t="str">
        <f>IF(U13="","",INDEX(TERRITORY_MR_LIST,MATCH(U13,TERRITORY_LIST_ID,0)))</f>
        <v/>
      </c>
      <c r="J13" s="2263" t="s">
        <v>53</v>
      </c>
      <c r="K13" s="824"/>
      <c r="L13" s="749" t="s">
        <v>168</v>
      </c>
      <c r="M13" s="825" t="s">
        <v>24</v>
      </c>
      <c r="N13" s="1034"/>
      <c r="O13" s="1643" t="s">
        <v>173</v>
      </c>
      <c r="P13" s="1640">
        <f>$E$13</f>
        <v>0</v>
      </c>
      <c r="Q13" s="1640" t="str">
        <f>IF($F$13="нет","без дифференциации",$I$13)</f>
        <v/>
      </c>
      <c r="R13" s="1640" t="str">
        <f>IF($J$13="нет","без дифференциации",M13)</f>
        <v>без дифференциации</v>
      </c>
      <c r="S13" s="1643"/>
      <c r="T13" s="1643"/>
      <c r="U13" s="1493"/>
      <c r="V13" s="1493"/>
      <c r="W13" s="1493"/>
      <c r="X13" s="1493"/>
      <c r="Y13" s="826" t="s">
        <v>174</v>
      </c>
      <c r="Z13" s="826">
        <v>1705000</v>
      </c>
      <c r="AA13" s="826"/>
      <c r="AB13" s="826"/>
      <c r="AC13" s="826"/>
      <c r="AD13" s="826"/>
      <c r="AE13" s="826"/>
      <c r="AF13" s="826"/>
      <c r="AG13" s="826"/>
      <c r="AH13" s="826"/>
      <c r="AI13" s="826"/>
      <c r="AJ13" s="826"/>
      <c r="AK13" s="826"/>
      <c r="AL13" s="826"/>
    </row>
    <row s="15922" customFormat="1" customHeight="1" ht="15">
      <c r="A14" s="515"/>
      <c r="B14" s="515"/>
      <c r="C14" s="399"/>
      <c r="D14" s="2264"/>
      <c r="E14" s="2266"/>
      <c r="F14" s="2263"/>
      <c r="G14" s="2269"/>
      <c r="H14" s="2270"/>
      <c r="I14" s="2262"/>
      <c r="J14" s="2263"/>
      <c r="K14" s="643"/>
      <c r="L14" s="400"/>
      <c r="M14" s="829" t="s">
        <v>175</v>
      </c>
      <c r="N14" s="1034"/>
      <c r="O14" s="1643"/>
      <c r="P14" s="1640"/>
      <c r="Q14" s="1640"/>
      <c r="R14" s="1640"/>
      <c r="S14" s="1643"/>
      <c r="T14" s="1643"/>
      <c r="U14" s="1493"/>
      <c r="V14" s="1493"/>
      <c r="W14" s="1493"/>
      <c r="X14" s="1493"/>
      <c r="Y14" s="826"/>
      <c r="Z14" s="826"/>
      <c r="AA14" s="826"/>
      <c r="AB14" s="826"/>
      <c r="AC14" s="826"/>
      <c r="AD14" s="826"/>
      <c r="AE14" s="826"/>
      <c r="AF14" s="826"/>
      <c r="AG14" s="826"/>
      <c r="AH14" s="826"/>
      <c r="AI14" s="826"/>
      <c r="AJ14" s="826"/>
      <c r="AK14" s="826"/>
      <c r="AL14" s="826"/>
    </row>
    <row s="15922" customFormat="1" customHeight="1" ht="15">
      <c r="A15" s="515"/>
      <c r="B15" s="515"/>
      <c r="C15" s="399"/>
      <c r="D15" s="2264"/>
      <c r="E15" s="2267"/>
      <c r="F15" s="2263"/>
      <c r="G15" s="1283"/>
      <c r="H15" s="1284"/>
      <c r="I15" s="802" t="s">
        <v>176</v>
      </c>
      <c r="J15" s="400"/>
      <c r="K15" s="400"/>
      <c r="L15" s="400"/>
      <c r="M15" s="830"/>
      <c r="N15" s="1034"/>
      <c r="O15" s="1643"/>
      <c r="P15" s="1640"/>
      <c r="Q15" s="1640"/>
      <c r="R15" s="1640"/>
      <c r="S15" s="1643"/>
      <c r="T15" s="1643"/>
      <c r="U15" s="1493"/>
      <c r="V15" s="1493"/>
      <c r="W15" s="1493"/>
      <c r="X15" s="1493"/>
      <c r="Y15" s="826"/>
      <c r="Z15" s="826"/>
      <c r="AA15" s="826"/>
      <c r="AB15" s="826"/>
      <c r="AC15" s="826"/>
      <c r="AD15" s="826"/>
      <c r="AE15" s="826"/>
      <c r="AF15" s="826"/>
      <c r="AG15" s="826"/>
      <c r="AH15" s="826"/>
      <c r="AI15" s="826"/>
      <c r="AJ15" s="826"/>
      <c r="AK15" s="826"/>
      <c r="AL15" s="826"/>
    </row>
    <row customHeight="1" ht="15">
      <c r="A16" s="831"/>
      <c r="B16" s="358"/>
      <c r="C16" s="1028"/>
      <c r="D16" s="643"/>
      <c r="E16" s="793" t="s">
        <v>177</v>
      </c>
      <c r="F16" s="400"/>
      <c r="G16" s="400"/>
      <c r="H16" s="400"/>
      <c r="I16" s="400"/>
      <c r="J16" s="400"/>
      <c r="K16" s="400" t="s">
        <v>24</v>
      </c>
      <c r="L16" s="400"/>
      <c r="M16" s="830"/>
      <c r="N16" s="1854"/>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2225A5-0B45-2F12-B853-7046FA5D0A0E}" mc:Ignorable="x14ac xr xr2 xr3">
  <sheetPr>
    <tabColor rgb="FFCCCCFF"/>
  </sheetPr>
  <dimension ref="A1:AQ179"/>
  <sheetViews>
    <sheetView topLeftCell="A1" showGridLines="0" zoomScale="90" workbookViewId="0">
      <selection activeCell="J149" sqref="J149:J152"/>
    </sheetView>
  </sheetViews>
  <sheetFormatPr defaultColWidth="9.140625" customHeight="1" defaultRowHeight="11.25"/>
  <cols>
    <col min="1" max="2" style="16175" width="3.7109375" hidden="1" customWidth="1"/>
    <col min="3" max="3" style="16176" width="3.7109375" customWidth="1"/>
    <col min="4" max="4" style="16176" width="6.140625" customWidth="1"/>
    <col min="5" max="5" style="16176" width="43.140625" customWidth="1"/>
    <col min="6" max="6" style="16031" width="15.00390625" customWidth="1"/>
    <col min="7" max="7" style="16176" width="43.140625" customWidth="1"/>
    <col min="8" max="8" style="16176" width="3.7109375" customWidth="1"/>
    <col min="9" max="9" style="16176" width="5.421875" customWidth="1"/>
    <col min="10" max="10" style="16176" width="47.8515625" customWidth="1"/>
    <col min="11" max="12" style="16176" width="3.7109375" customWidth="1"/>
    <col min="13" max="13" style="16176" width="5.7109375" customWidth="1"/>
    <col min="14" max="14" style="16176" width="28.140625" customWidth="1"/>
    <col min="15" max="16" style="16176" width="3.7109375" customWidth="1"/>
    <col min="17" max="17" style="16176" width="5.7109375" customWidth="1"/>
    <col min="18" max="18" style="16176" width="34.421875" customWidth="1"/>
    <col min="19" max="20" style="16177" width="3.7109375" hidden="1" customWidth="1"/>
    <col min="21" max="21" style="16177" width="5.7109375" hidden="1" customWidth="1"/>
    <col min="22" max="22" style="16177" width="34.421875" hidden="1" customWidth="1"/>
    <col min="23" max="23" style="16176" width="30.7109375" customWidth="1"/>
    <col min="24" max="24" style="16176" width="3.7109375" customWidth="1"/>
    <col min="25" max="25" style="16178" width="9.8515625" customWidth="1"/>
    <col min="26" max="28" style="16178" width="9.8515625" hidden="1" customWidth="1"/>
    <col min="29" max="29" style="16178" width="27.00390625" hidden="1" customWidth="1"/>
    <col min="30" max="30" style="16178" width="10.57421875" hidden="1" customWidth="1"/>
    <col min="31" max="31" style="16178" width="10.7109375" hidden="1" customWidth="1"/>
    <col min="32" max="32" style="16178" width="10.00390625" hidden="1" customWidth="1"/>
    <col min="33" max="33" style="16178" width="12.8515625" hidden="1" customWidth="1"/>
    <col min="34" max="34" style="16178" width="24.421875" hidden="1" customWidth="1"/>
    <col min="35" max="35" style="16178" width="15.8515625" hidden="1" customWidth="1"/>
    <col min="36" max="36" style="16178" width="19.421875" hidden="1" customWidth="1"/>
    <col min="37" max="37" style="16178" width="11.00390625" hidden="1" customWidth="1"/>
    <col min="38" max="38" style="16178" width="23.57421875" hidden="1" customWidth="1"/>
    <col min="39" max="39" style="16178" width="23.8515625" hidden="1" customWidth="1"/>
    <col min="40" max="40" style="16178" width="25.28125" hidden="1" customWidth="1"/>
    <col min="41" max="41" style="16178" width="16.8515625" hidden="1" customWidth="1"/>
    <col min="42" max="42" style="16178" width="29.57421875" hidden="1" customWidth="1"/>
    <col min="43" max="43" style="16178" width="29.8515625" hidden="1" customWidth="1"/>
  </cols>
  <sheetData>
    <row customHeight="1" ht="11.25" hidden="1">
      <c r="A1" s="379"/>
    </row>
    <row customHeight="1" ht="11.25" hidden="1"/>
    <row customHeight="1" ht="11.25" hidden="1"/>
    <row customHeight="1" ht="3"/>
    <row s="15956" customFormat="1" customHeight="1" ht="29.25">
      <c r="A5" s="377"/>
      <c r="B5" s="377"/>
      <c r="D5" s="23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302"/>
      <c r="F5" s="2302"/>
      <c r="G5" s="2302"/>
      <c r="H5" s="2302"/>
      <c r="I5" s="2302"/>
      <c r="J5" s="2303"/>
      <c r="K5" s="487"/>
      <c r="L5" s="365"/>
      <c r="M5" s="365"/>
      <c r="N5" s="365"/>
      <c r="O5" s="365"/>
      <c r="P5" s="365"/>
      <c r="Q5" s="365"/>
      <c r="R5" s="365"/>
      <c r="S5" s="512"/>
      <c r="T5" s="512"/>
      <c r="U5" s="512"/>
      <c r="V5" s="512"/>
      <c r="W5" s="365"/>
      <c r="Y5" s="1487"/>
      <c r="Z5" s="1487"/>
      <c r="AA5" s="1487"/>
      <c r="AB5" s="1487"/>
      <c r="AC5" s="1487"/>
      <c r="AD5" s="1487"/>
      <c r="AE5" s="1487"/>
      <c r="AF5" s="1487"/>
      <c r="AG5" s="1487"/>
      <c r="AH5" s="1487"/>
      <c r="AI5" s="1487"/>
      <c r="AJ5" s="1487"/>
      <c r="AK5" s="1487"/>
      <c r="AL5" s="1487"/>
      <c r="AM5" s="1487"/>
      <c r="AN5" s="1487"/>
      <c r="AO5" s="1487"/>
      <c r="AP5" s="1487"/>
      <c r="AQ5" s="1487"/>
    </row>
    <row s="15873" customFormat="1" customHeight="1" ht="15">
      <c r="A6" s="807"/>
      <c r="B6" s="807"/>
      <c r="C6" s="807"/>
      <c r="D6" s="2307" t="str">
        <f>IF(org=0,"Не определено",org)</f>
        <v>КГУП "Примтеплоэнерго"</v>
      </c>
      <c r="E6" s="2307"/>
      <c r="F6" s="2307"/>
      <c r="G6" s="2307"/>
      <c r="H6" s="2307"/>
      <c r="I6" s="2307"/>
      <c r="J6" s="2307"/>
      <c r="K6" s="808"/>
      <c r="L6" s="808"/>
      <c r="M6" s="808"/>
      <c r="N6" s="808"/>
      <c r="O6" s="1092"/>
      <c r="P6" s="1092"/>
      <c r="Q6" s="1092"/>
      <c r="R6" s="1092"/>
      <c r="S6" s="1092"/>
      <c r="T6" s="1092"/>
      <c r="U6" s="1092"/>
      <c r="V6" s="1092"/>
      <c r="W6" s="1092"/>
      <c r="X6" s="808"/>
      <c r="Y6" s="1488"/>
      <c r="Z6" s="1488"/>
      <c r="AA6" s="1488"/>
      <c r="AB6" s="1488"/>
      <c r="AC6" s="1488"/>
      <c r="AD6" s="1488"/>
      <c r="AE6" s="1488"/>
      <c r="AF6" s="1488"/>
      <c r="AG6" s="1488"/>
      <c r="AH6" s="1488"/>
      <c r="AI6" s="1488"/>
      <c r="AJ6" s="1488"/>
      <c r="AK6" s="1488"/>
      <c r="AL6" s="1488"/>
      <c r="AM6" s="1488"/>
      <c r="AN6" s="1488"/>
      <c r="AO6" s="1488"/>
      <c r="AP6" s="1488"/>
      <c r="AQ6" s="1488"/>
    </row>
    <row s="15966" customFormat="1" customHeight="1" ht="11.25">
      <c r="A7" s="433"/>
      <c r="B7" s="433"/>
      <c r="D7" s="2304"/>
      <c r="E7" s="2305"/>
      <c r="F7" s="2305"/>
      <c r="G7" s="2305"/>
      <c r="H7" s="2305"/>
      <c r="I7" s="2305"/>
      <c r="J7" s="2306"/>
      <c r="S7" s="521"/>
      <c r="T7" s="521"/>
      <c r="U7" s="521"/>
      <c r="V7" s="521"/>
      <c r="Y7" s="1489"/>
      <c r="Z7" s="1489"/>
      <c r="AA7" s="1489"/>
      <c r="AB7" s="1489"/>
      <c r="AC7" s="1489"/>
      <c r="AD7" s="1489"/>
      <c r="AE7" s="1489"/>
      <c r="AF7" s="1489"/>
      <c r="AG7" s="1489"/>
      <c r="AH7" s="1489"/>
      <c r="AI7" s="1489"/>
      <c r="AJ7" s="1489"/>
      <c r="AK7" s="1489"/>
      <c r="AL7" s="1489"/>
      <c r="AM7" s="1489"/>
      <c r="AN7" s="1489"/>
      <c r="AO7" s="1489"/>
      <c r="AP7" s="1489"/>
      <c r="AQ7" s="1489"/>
    </row>
    <row s="15956" customFormat="1" customHeight="1" ht="0.75">
      <c r="A8" s="377"/>
      <c r="B8" s="377"/>
      <c r="D8" s="434"/>
      <c r="E8" s="434"/>
      <c r="F8" s="434"/>
      <c r="G8" s="434"/>
      <c r="H8" s="434"/>
      <c r="I8" s="434"/>
      <c r="J8" s="434"/>
      <c r="K8" s="434"/>
      <c r="L8" s="434"/>
      <c r="M8" s="434"/>
      <c r="N8" s="434"/>
      <c r="O8" s="434"/>
      <c r="P8" s="434"/>
      <c r="Q8" s="434"/>
      <c r="R8" s="434"/>
      <c r="S8" s="434"/>
      <c r="T8" s="434"/>
      <c r="U8" s="434"/>
      <c r="V8" s="434"/>
      <c r="W8" s="434"/>
      <c r="X8" s="355"/>
      <c r="Y8" s="1487"/>
      <c r="Z8" s="1487"/>
      <c r="AA8" s="1487"/>
      <c r="AB8" s="1487"/>
      <c r="AC8" s="1487"/>
      <c r="AD8" s="1487"/>
      <c r="AE8" s="1487"/>
      <c r="AF8" s="1487"/>
      <c r="AG8" s="1487"/>
      <c r="AH8" s="1487"/>
      <c r="AI8" s="1487"/>
      <c r="AJ8" s="1487"/>
      <c r="AK8" s="1487"/>
      <c r="AL8" s="1487"/>
      <c r="AM8" s="1487"/>
      <c r="AN8" s="1487"/>
      <c r="AO8" s="1487"/>
      <c r="AP8" s="1487"/>
      <c r="AQ8" s="1487"/>
    </row>
    <row customHeight="1" ht="27">
      <c r="D9" s="2253" t="s">
        <v>84</v>
      </c>
      <c r="E9" s="2237" t="s">
        <v>178</v>
      </c>
      <c r="F9" s="2239"/>
      <c r="G9" s="2253" t="s">
        <v>164</v>
      </c>
      <c r="H9" s="2253" t="s">
        <v>84</v>
      </c>
      <c r="I9" s="2253"/>
      <c r="J9" s="2253" t="s">
        <v>179</v>
      </c>
      <c r="K9" s="2308" t="s">
        <v>180</v>
      </c>
      <c r="L9" s="2308"/>
      <c r="M9" s="2308"/>
      <c r="N9" s="2308"/>
      <c r="O9" s="2308" t="s">
        <v>181</v>
      </c>
      <c r="P9" s="2308"/>
      <c r="Q9" s="2308"/>
      <c r="R9" s="2308"/>
      <c r="S9" s="2308" t="s">
        <v>182</v>
      </c>
      <c r="T9" s="2308"/>
      <c r="U9" s="2308"/>
      <c r="V9" s="2308"/>
      <c r="W9" s="2253" t="s">
        <v>183</v>
      </c>
    </row>
    <row customHeight="1" ht="30">
      <c r="D10" s="2253"/>
      <c r="E10" s="1511" t="s">
        <v>85</v>
      </c>
      <c r="F10" s="1511" t="s">
        <v>184</v>
      </c>
      <c r="G10" s="2253"/>
      <c r="H10" s="2253"/>
      <c r="I10" s="2253"/>
      <c r="J10" s="2253"/>
      <c r="K10" s="333" t="s">
        <v>167</v>
      </c>
      <c r="L10" s="2253" t="s">
        <v>84</v>
      </c>
      <c r="M10" s="2253"/>
      <c r="N10" s="333" t="s">
        <v>185</v>
      </c>
      <c r="O10" s="333" t="s">
        <v>167</v>
      </c>
      <c r="P10" s="2253" t="s">
        <v>84</v>
      </c>
      <c r="Q10" s="2253"/>
      <c r="R10" s="333" t="s">
        <v>185</v>
      </c>
      <c r="S10" s="505" t="s">
        <v>167</v>
      </c>
      <c r="T10" s="2253" t="s">
        <v>84</v>
      </c>
      <c r="U10" s="2253"/>
      <c r="V10" s="505" t="s">
        <v>85</v>
      </c>
      <c r="W10" s="2253"/>
      <c r="Z10" s="1486" t="s">
        <v>186</v>
      </c>
      <c r="AA10" s="1486" t="s">
        <v>187</v>
      </c>
      <c r="AB10" s="1486" t="s">
        <v>188</v>
      </c>
      <c r="AC10" s="1486" t="s">
        <v>189</v>
      </c>
      <c r="AD10" s="1486" t="s">
        <v>190</v>
      </c>
      <c r="AE10" s="1486" t="s">
        <v>191</v>
      </c>
      <c r="AF10" s="1486" t="s">
        <v>192</v>
      </c>
      <c r="AG10" s="1486" t="s">
        <v>193</v>
      </c>
      <c r="AH10" s="1486" t="s">
        <v>194</v>
      </c>
      <c r="AI10" s="1486" t="s">
        <v>195</v>
      </c>
      <c r="AJ10" s="1486" t="s">
        <v>196</v>
      </c>
      <c r="AK10" s="1486" t="s">
        <v>197</v>
      </c>
      <c r="AL10" s="1486" t="s">
        <v>198</v>
      </c>
      <c r="AM10" s="1486" t="s">
        <v>199</v>
      </c>
      <c r="AN10" s="1486" t="s">
        <v>200</v>
      </c>
      <c r="AO10" s="1486" t="s">
        <v>201</v>
      </c>
      <c r="AP10" s="1486" t="s">
        <v>202</v>
      </c>
      <c r="AQ10" s="1486" t="s">
        <v>203</v>
      </c>
    </row>
    <row s="15980" customFormat="1" customHeight="1" ht="12" hidden="1">
      <c r="D11" s="1475" t="s">
        <v>168</v>
      </c>
      <c r="E11" s="1475" t="s">
        <v>99</v>
      </c>
      <c r="F11" s="1475"/>
      <c r="G11" s="1475" t="s">
        <v>86</v>
      </c>
      <c r="H11" s="2300" t="s">
        <v>113</v>
      </c>
      <c r="I11" s="2300"/>
      <c r="J11" s="1475" t="s">
        <v>88</v>
      </c>
      <c r="K11" s="1475" t="s">
        <v>89</v>
      </c>
      <c r="L11" s="2300" t="s">
        <v>126</v>
      </c>
      <c r="M11" s="2300"/>
      <c r="N11" s="1475" t="s">
        <v>131</v>
      </c>
      <c r="O11" s="1475" t="s">
        <v>136</v>
      </c>
      <c r="P11" s="2300" t="s">
        <v>141</v>
      </c>
      <c r="Q11" s="2300"/>
      <c r="R11" s="1475" t="s">
        <v>147</v>
      </c>
      <c r="S11" s="1475" t="s">
        <v>141</v>
      </c>
      <c r="T11" s="2300" t="s">
        <v>147</v>
      </c>
      <c r="U11" s="2300"/>
      <c r="V11" s="1475" t="s">
        <v>151</v>
      </c>
      <c r="W11" s="1475" t="s">
        <v>156</v>
      </c>
      <c r="Y11" s="1486"/>
      <c r="Z11" s="1486"/>
      <c r="AA11" s="1486"/>
      <c r="AB11" s="1486"/>
      <c r="AC11" s="1486"/>
      <c r="AD11" s="1486"/>
      <c r="AE11" s="1486"/>
      <c r="AF11" s="1486"/>
      <c r="AG11" s="1486"/>
      <c r="AH11" s="1486"/>
      <c r="AI11" s="1486"/>
      <c r="AJ11" s="1486"/>
      <c r="AK11" s="1486"/>
      <c r="AL11" s="1486"/>
      <c r="AM11" s="1486"/>
      <c r="AN11" s="1486"/>
      <c r="AO11" s="1486"/>
      <c r="AP11" s="1486"/>
      <c r="AQ11" s="1486"/>
    </row>
    <row customHeight="1" ht="14.25" hidden="1">
      <c r="C12" s="431"/>
      <c r="D12" s="1509">
        <v>0</v>
      </c>
      <c r="E12" s="472"/>
      <c r="F12" s="472"/>
      <c r="G12" s="472"/>
      <c r="H12" s="473"/>
      <c r="I12" s="473"/>
      <c r="J12" s="381"/>
      <c r="K12" s="335"/>
      <c r="L12" s="381"/>
      <c r="M12" s="381"/>
      <c r="N12" s="474"/>
      <c r="O12" s="335"/>
      <c r="P12" s="381"/>
      <c r="Q12" s="381"/>
      <c r="R12" s="475"/>
      <c r="S12" s="506"/>
      <c r="T12" s="514"/>
      <c r="U12" s="514"/>
      <c r="V12" s="518"/>
      <c r="W12" s="335"/>
      <c r="X12" s="364"/>
    </row>
    <row s="15995" customFormat="1" customHeight="1" ht="17.25" hidden="1">
      <c r="A13" s="543"/>
      <c r="C13" s="431"/>
      <c r="D13" s="2277">
        <v>1</v>
      </c>
      <c r="E13" s="2279" t="s">
        <v>204</v>
      </c>
      <c r="F13" s="2281" t="s">
        <v>53</v>
      </c>
      <c r="G13" s="2279"/>
      <c r="H13" s="2284"/>
      <c r="I13" s="2286"/>
      <c r="J13" s="2288"/>
      <c r="K13" s="2271"/>
      <c r="L13" s="2271"/>
      <c r="M13" s="2271"/>
      <c r="N13" s="2273"/>
      <c r="O13" s="2271"/>
      <c r="P13" s="2271"/>
      <c r="Q13" s="2271"/>
      <c r="R13" s="2276"/>
      <c r="S13" s="2271"/>
      <c r="T13" s="1647"/>
      <c r="U13" s="1647"/>
      <c r="V13" s="1646"/>
      <c r="W13" s="1523"/>
      <c r="Y13" s="1494"/>
      <c r="Z13" s="1494"/>
      <c r="AA13" s="1494"/>
      <c r="AB13" s="1494"/>
      <c r="AC13" s="1494" t="s">
        <v>205</v>
      </c>
      <c r="AD13" s="1494" t="s">
        <v>206</v>
      </c>
      <c r="AE13" s="1494" t="s">
        <v>207</v>
      </c>
      <c r="AF13" s="1494" t="s">
        <v>208</v>
      </c>
      <c r="AG13" s="1494" t="s">
        <v>209</v>
      </c>
      <c r="AH13" s="14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94" t="str">
        <f>IF($G$13=0,"",$G$13)</f>
        <v/>
      </c>
      <c r="AJ13" s="1494" t="str">
        <f>IF($J$13=0,"",$J$13)</f>
        <v/>
      </c>
      <c r="AK13" s="1494" t="str">
        <f>IF($K$13="нет","без дифференциации",IF($N$13=0,"",$N$13))</f>
        <v/>
      </c>
      <c r="AL13" s="1494" t="str">
        <f>IF($O$13="нет","без дифференциации",IF($R$13=0,"",$R$13))</f>
        <v/>
      </c>
      <c r="AM13" s="1494" t="str">
        <f>IF($S$13="нет","без дифференциации",IF($V$13=0,"",$V$13))</f>
        <v/>
      </c>
      <c r="AN13" s="1494">
        <f>$I$13</f>
        <v>0</v>
      </c>
      <c r="AO13" s="1494" t="str">
        <f>$I$13&amp;"."&amp;$M$13</f>
        <v>.</v>
      </c>
      <c r="AP13" s="1494" t="str">
        <f>$I$13&amp;"."&amp;$M$13&amp;"."&amp;$Q$13</f>
        <v>..</v>
      </c>
      <c r="AQ13" s="1494" t="str">
        <f>$I$13&amp;"."&amp;$M$13&amp;"."&amp;$Q$13&amp;"."&amp;$U$13</f>
        <v>...</v>
      </c>
    </row>
    <row s="15995" customFormat="1" customHeight="1" ht="17.25" hidden="1">
      <c r="A14" s="543"/>
      <c r="C14" s="542"/>
      <c r="D14" s="2277"/>
      <c r="E14" s="2279"/>
      <c r="F14" s="2282"/>
      <c r="G14" s="2279"/>
      <c r="H14" s="2285"/>
      <c r="I14" s="2287"/>
      <c r="J14" s="2289"/>
      <c r="K14" s="2272"/>
      <c r="L14" s="2272"/>
      <c r="M14" s="2272"/>
      <c r="N14" s="2274"/>
      <c r="O14" s="2272"/>
      <c r="P14" s="2272"/>
      <c r="Q14" s="2272"/>
      <c r="R14" s="2275"/>
      <c r="S14" s="2272"/>
      <c r="T14" s="1524"/>
      <c r="U14" s="1524"/>
      <c r="V14" s="1524"/>
      <c r="W14" s="1525"/>
      <c r="Y14" s="1486"/>
      <c r="Z14" s="1486"/>
      <c r="AA14" s="1486"/>
      <c r="AB14" s="1486"/>
      <c r="AC14" s="1486"/>
      <c r="AD14" s="1486"/>
      <c r="AE14" s="1486"/>
      <c r="AF14" s="1486"/>
      <c r="AG14" s="1486"/>
      <c r="AH14" s="1486"/>
      <c r="AI14" s="1486"/>
      <c r="AJ14" s="1486"/>
      <c r="AK14" s="1486"/>
      <c r="AL14" s="1486"/>
      <c r="AM14" s="1486"/>
      <c r="AN14" s="1486"/>
      <c r="AO14" s="1486"/>
      <c r="AP14" s="1486"/>
      <c r="AQ14" s="1486"/>
    </row>
    <row s="16020" customFormat="1" customHeight="1" ht="17.25" hidden="1">
      <c r="A15" s="543"/>
      <c r="C15" s="431"/>
      <c r="D15" s="2277"/>
      <c r="E15" s="2279"/>
      <c r="F15" s="2282"/>
      <c r="G15" s="2279"/>
      <c r="H15" s="2285"/>
      <c r="I15" s="2287"/>
      <c r="J15" s="2290"/>
      <c r="K15" s="2272"/>
      <c r="L15" s="2272"/>
      <c r="M15" s="2272"/>
      <c r="N15" s="2275"/>
      <c r="O15" s="2272"/>
      <c r="P15" s="1645"/>
      <c r="Q15" s="1524"/>
      <c r="R15" s="1524"/>
      <c r="S15" s="551"/>
      <c r="T15" s="551"/>
      <c r="U15" s="551"/>
      <c r="V15" s="551"/>
      <c r="W15" s="1525"/>
      <c r="Y15" s="1494"/>
      <c r="Z15" s="1494"/>
      <c r="AA15" s="1494"/>
      <c r="AB15" s="1494"/>
      <c r="AC15" s="1494"/>
      <c r="AD15" s="1494"/>
      <c r="AE15" s="1494"/>
      <c r="AF15" s="1494"/>
      <c r="AG15" s="1494"/>
      <c r="AH15" s="1494"/>
      <c r="AI15" s="1494"/>
      <c r="AJ15" s="1494"/>
      <c r="AK15" s="1494"/>
      <c r="AL15" s="1494"/>
      <c r="AM15" s="1494"/>
      <c r="AN15" s="1494"/>
      <c r="AO15" s="1494"/>
      <c r="AP15" s="1494"/>
      <c r="AQ15" s="1494"/>
    </row>
    <row s="16020" customFormat="1" customHeight="1" ht="17.25" hidden="1">
      <c r="A16" s="543"/>
      <c r="C16" s="542"/>
      <c r="D16" s="2277"/>
      <c r="E16" s="2279"/>
      <c r="F16" s="2282"/>
      <c r="G16" s="2279"/>
      <c r="H16" s="2285"/>
      <c r="I16" s="2287"/>
      <c r="J16" s="2290"/>
      <c r="K16" s="2272"/>
      <c r="L16" s="1524"/>
      <c r="M16" s="1524"/>
      <c r="N16" s="1524"/>
      <c r="O16" s="1524"/>
      <c r="P16" s="1524"/>
      <c r="Q16" s="1524"/>
      <c r="R16" s="1524"/>
      <c r="S16" s="551"/>
      <c r="T16" s="551"/>
      <c r="U16" s="551"/>
      <c r="V16" s="551"/>
      <c r="W16" s="1525"/>
      <c r="Y16" s="1486"/>
      <c r="Z16" s="1486"/>
      <c r="AA16" s="1486"/>
      <c r="AB16" s="1486"/>
      <c r="AC16" s="1486"/>
      <c r="AD16" s="1486"/>
      <c r="AE16" s="1486"/>
      <c r="AF16" s="1486"/>
      <c r="AG16" s="1486"/>
      <c r="AH16" s="1486"/>
      <c r="AI16" s="1486"/>
      <c r="AJ16" s="1486"/>
      <c r="AK16" s="1486"/>
      <c r="AL16" s="1486"/>
      <c r="AM16" s="1486"/>
      <c r="AN16" s="1486"/>
      <c r="AO16" s="1486"/>
      <c r="AP16" s="1486"/>
      <c r="AQ16" s="1486"/>
    </row>
    <row s="15995" customFormat="1" customHeight="1" ht="17.25" hidden="1">
      <c r="A17" s="543"/>
      <c r="C17" s="542"/>
      <c r="D17" s="2278"/>
      <c r="E17" s="2280"/>
      <c r="F17" s="2283"/>
      <c r="G17" s="2280"/>
      <c r="H17" s="1526"/>
      <c r="I17" s="1527"/>
      <c r="J17" s="1527"/>
      <c r="K17" s="1527"/>
      <c r="L17" s="1527"/>
      <c r="M17" s="1527"/>
      <c r="N17" s="1527"/>
      <c r="O17" s="1527"/>
      <c r="P17" s="1527"/>
      <c r="Q17" s="1527"/>
      <c r="R17" s="1527"/>
      <c r="S17" s="1528"/>
      <c r="T17" s="1528"/>
      <c r="U17" s="1528"/>
      <c r="V17" s="1528"/>
      <c r="W17" s="1529"/>
      <c r="Y17" s="1486"/>
      <c r="Z17" s="1486"/>
      <c r="AA17" s="1486"/>
      <c r="AB17" s="1486"/>
      <c r="AC17" s="1486"/>
      <c r="AD17" s="1486"/>
      <c r="AE17" s="1486"/>
      <c r="AF17" s="1486"/>
      <c r="AG17" s="1486"/>
      <c r="AH17" s="1486"/>
      <c r="AI17" s="1486"/>
      <c r="AJ17" s="1486"/>
      <c r="AK17" s="1486"/>
      <c r="AL17" s="1486"/>
      <c r="AM17" s="1486"/>
      <c r="AN17" s="1486"/>
      <c r="AO17" s="1486"/>
      <c r="AP17" s="1486"/>
      <c r="AQ17" s="1486"/>
    </row>
    <row s="16031" customFormat="1" customHeight="1" ht="17.25" hidden="1">
      <c r="A18" s="543"/>
      <c r="C18" s="431"/>
      <c r="D18" s="2277">
        <v>2</v>
      </c>
      <c r="E18" s="2279" t="s">
        <v>210</v>
      </c>
      <c r="F18" s="2281" t="s">
        <v>53</v>
      </c>
      <c r="G18" s="2279"/>
      <c r="H18" s="2284"/>
      <c r="I18" s="2286"/>
      <c r="J18" s="2288"/>
      <c r="K18" s="2271"/>
      <c r="L18" s="2271"/>
      <c r="M18" s="2271"/>
      <c r="N18" s="2273"/>
      <c r="O18" s="2271"/>
      <c r="P18" s="2271"/>
      <c r="Q18" s="2271"/>
      <c r="R18" s="2276"/>
      <c r="S18" s="2271"/>
      <c r="T18" s="1647"/>
      <c r="U18" s="1647"/>
      <c r="V18" s="1646"/>
      <c r="W18" s="1523"/>
      <c r="X18" s="1494"/>
      <c r="Y18" s="1494"/>
      <c r="Z18" s="1494"/>
      <c r="AA18" s="1494"/>
      <c r="AB18" s="1494"/>
      <c r="AC18" s="1494" t="s">
        <v>211</v>
      </c>
      <c r="AD18" s="1494" t="s">
        <v>212</v>
      </c>
      <c r="AE18" s="1494" t="s">
        <v>213</v>
      </c>
      <c r="AF18" s="1494" t="s">
        <v>214</v>
      </c>
      <c r="AG18" s="1494" t="s">
        <v>215</v>
      </c>
      <c r="AH18" s="1494" t="str">
        <f>IF($E$18=0,"",$E$18)</f>
        <v>Тарифы на тепловую энергию (мощность), поставляемую теплоснабжающими организациями потребителям, другим теплоснабжающим организациям</v>
      </c>
      <c r="AI18" s="1494" t="str">
        <f>IF($G$18=0,"",$G$18)</f>
        <v/>
      </c>
      <c r="AJ18" s="1494" t="str">
        <f>IF($J$18=0,"",$J$18)</f>
        <v/>
      </c>
      <c r="AK18" s="1494" t="str">
        <f>IF($K$18="нет","без дифференциации",IF($N$18=0,"",$N$18))</f>
        <v/>
      </c>
      <c r="AL18" s="1494" t="str">
        <f>IF($O$18="нет","без дифференциации",IF($R$18=0,"",$R$18))</f>
        <v/>
      </c>
      <c r="AM18" s="1494" t="str">
        <f>IF($S$18="нет","без дифференциации",IF($V$18=0,"",$V$18))</f>
        <v/>
      </c>
      <c r="AN18" s="1999">
        <f>$I$18</f>
        <v>0</v>
      </c>
      <c r="AO18" s="1494" t="str">
        <f>$I$18&amp;"."&amp;$M$18</f>
        <v>.</v>
      </c>
      <c r="AP18" s="1486" t="str">
        <f>$I$18&amp;"."&amp;$M$18&amp;"."&amp;$Q$18</f>
        <v>..</v>
      </c>
      <c r="AQ18" s="1486" t="str">
        <f>$I$18&amp;"."&amp;$M$18&amp;"."&amp;$Q$18&amp;"."&amp;$U$18</f>
        <v>...</v>
      </c>
    </row>
    <row s="16031" customFormat="1" customHeight="1" ht="17.25" hidden="1">
      <c r="A19" s="543"/>
      <c r="C19" s="542"/>
      <c r="D19" s="2277"/>
      <c r="E19" s="2279"/>
      <c r="F19" s="2282"/>
      <c r="G19" s="2279"/>
      <c r="H19" s="2285"/>
      <c r="I19" s="2287"/>
      <c r="J19" s="2289"/>
      <c r="K19" s="2272"/>
      <c r="L19" s="2272"/>
      <c r="M19" s="2272"/>
      <c r="N19" s="2274"/>
      <c r="O19" s="2272"/>
      <c r="P19" s="2272"/>
      <c r="Q19" s="2272"/>
      <c r="R19" s="2275"/>
      <c r="S19" s="2272"/>
      <c r="T19" s="1524"/>
      <c r="U19" s="1524"/>
      <c r="V19" s="1524"/>
      <c r="W19" s="1525"/>
      <c r="X19" s="1486"/>
      <c r="Y19" s="1486"/>
      <c r="Z19" s="1486"/>
      <c r="AA19" s="1486"/>
      <c r="AB19" s="1486"/>
      <c r="AC19" s="1486"/>
      <c r="AD19" s="1486"/>
      <c r="AE19" s="1486"/>
      <c r="AF19" s="1486"/>
      <c r="AG19" s="1486"/>
      <c r="AH19" s="1486"/>
      <c r="AI19" s="1486"/>
      <c r="AJ19" s="1486"/>
      <c r="AK19" s="1486"/>
      <c r="AL19" s="1486"/>
      <c r="AM19" s="1486"/>
      <c r="AN19" s="1486"/>
      <c r="AO19" s="1486"/>
      <c r="AP19" s="1486"/>
      <c r="AQ19" s="1486"/>
    </row>
    <row s="16031" customFormat="1" customHeight="1" ht="17.25" hidden="1">
      <c r="A20" s="543"/>
      <c r="C20" s="542"/>
      <c r="D20" s="2278"/>
      <c r="E20" s="2280"/>
      <c r="F20" s="2282"/>
      <c r="G20" s="2280"/>
      <c r="H20" s="2285"/>
      <c r="I20" s="2287"/>
      <c r="J20" s="2290"/>
      <c r="K20" s="2272"/>
      <c r="L20" s="2272"/>
      <c r="M20" s="2272"/>
      <c r="N20" s="2275"/>
      <c r="O20" s="2272"/>
      <c r="P20" s="1645"/>
      <c r="Q20" s="1524"/>
      <c r="R20" s="1524"/>
      <c r="S20" s="551"/>
      <c r="T20" s="551"/>
      <c r="U20" s="551"/>
      <c r="V20" s="551"/>
      <c r="W20" s="1525"/>
      <c r="X20" s="1486"/>
      <c r="Y20" s="1486"/>
      <c r="Z20" s="1486"/>
      <c r="AA20" s="1486"/>
      <c r="AB20" s="1486"/>
      <c r="AC20" s="1486"/>
      <c r="AD20" s="1486"/>
      <c r="AE20" s="1486"/>
      <c r="AF20" s="1486"/>
      <c r="AG20" s="1486"/>
      <c r="AH20" s="1486"/>
      <c r="AI20" s="1486"/>
      <c r="AJ20" s="1486"/>
      <c r="AK20" s="1486"/>
      <c r="AL20" s="1486"/>
      <c r="AM20" s="1486"/>
      <c r="AN20" s="1486"/>
      <c r="AO20" s="1486"/>
      <c r="AP20" s="1486"/>
      <c r="AQ20" s="1486"/>
    </row>
    <row s="16031" customFormat="1" customHeight="1" ht="17.25" hidden="1">
      <c r="A21" s="543"/>
      <c r="C21" s="542"/>
      <c r="D21" s="2278"/>
      <c r="E21" s="2280"/>
      <c r="F21" s="2282"/>
      <c r="G21" s="2280"/>
      <c r="H21" s="2285"/>
      <c r="I21" s="2287"/>
      <c r="J21" s="2290"/>
      <c r="K21" s="2272"/>
      <c r="L21" s="1524"/>
      <c r="M21" s="1524"/>
      <c r="N21" s="1524"/>
      <c r="O21" s="1524"/>
      <c r="P21" s="1524"/>
      <c r="Q21" s="1524"/>
      <c r="R21" s="1524"/>
      <c r="S21" s="551"/>
      <c r="T21" s="551"/>
      <c r="U21" s="551"/>
      <c r="V21" s="551"/>
      <c r="W21" s="1525"/>
      <c r="X21" s="1486"/>
      <c r="Y21" s="1486"/>
      <c r="Z21" s="1486"/>
      <c r="AA21" s="1486"/>
      <c r="AB21" s="1486"/>
      <c r="AC21" s="1486"/>
      <c r="AD21" s="1486"/>
      <c r="AE21" s="1486"/>
      <c r="AF21" s="1486"/>
      <c r="AG21" s="1486"/>
      <c r="AH21" s="1486"/>
      <c r="AI21" s="1486"/>
      <c r="AJ21" s="1486"/>
      <c r="AK21" s="1486"/>
      <c r="AL21" s="1486"/>
      <c r="AM21" s="1486"/>
      <c r="AN21" s="1486"/>
      <c r="AO21" s="1486"/>
      <c r="AP21" s="1486"/>
      <c r="AQ21" s="1486"/>
    </row>
    <row s="16031" customFormat="1" customHeight="1" ht="17.25" hidden="1">
      <c r="A22" s="543"/>
      <c r="C22" s="542"/>
      <c r="D22" s="2278"/>
      <c r="E22" s="2280"/>
      <c r="F22" s="2283"/>
      <c r="G22" s="2280"/>
      <c r="H22" s="1526"/>
      <c r="I22" s="1527"/>
      <c r="J22" s="1527"/>
      <c r="K22" s="1527"/>
      <c r="L22" s="1527"/>
      <c r="M22" s="1527"/>
      <c r="N22" s="1527"/>
      <c r="O22" s="1527"/>
      <c r="P22" s="1527"/>
      <c r="Q22" s="1527"/>
      <c r="R22" s="1527"/>
      <c r="S22" s="1528"/>
      <c r="T22" s="1528"/>
      <c r="U22" s="1528"/>
      <c r="V22" s="1528"/>
      <c r="W22" s="1529"/>
      <c r="X22" s="1486"/>
      <c r="Y22" s="1486"/>
      <c r="Z22" s="1486"/>
      <c r="AA22" s="1486"/>
      <c r="AB22" s="1486"/>
      <c r="AC22" s="1486"/>
      <c r="AD22" s="1486"/>
      <c r="AE22" s="1486"/>
      <c r="AF22" s="1486"/>
      <c r="AG22" s="1486"/>
      <c r="AH22" s="1486"/>
      <c r="AI22" s="1486"/>
      <c r="AJ22" s="1486"/>
      <c r="AK22" s="1486"/>
      <c r="AL22" s="1486"/>
      <c r="AM22" s="1486"/>
      <c r="AN22" s="1486"/>
      <c r="AO22" s="1486"/>
      <c r="AP22" s="1486"/>
      <c r="AQ22" s="1486"/>
    </row>
    <row s="16031" customFormat="1" customHeight="1" ht="17.25" hidden="1">
      <c r="A23" s="543"/>
      <c r="C23" s="431"/>
      <c r="D23" s="2277">
        <v>3</v>
      </c>
      <c r="E23" s="2279" t="s">
        <v>216</v>
      </c>
      <c r="F23" s="2281" t="s">
        <v>53</v>
      </c>
      <c r="G23" s="2279"/>
      <c r="H23" s="2284"/>
      <c r="I23" s="2286"/>
      <c r="J23" s="2288"/>
      <c r="K23" s="2271"/>
      <c r="L23" s="2271"/>
      <c r="M23" s="2271"/>
      <c r="N23" s="2273"/>
      <c r="O23" s="2271"/>
      <c r="P23" s="2271"/>
      <c r="Q23" s="2271"/>
      <c r="R23" s="2276"/>
      <c r="S23" s="2271"/>
      <c r="T23" s="1647"/>
      <c r="U23" s="1647"/>
      <c r="V23" s="1646"/>
      <c r="W23" s="1523"/>
      <c r="X23" s="1494"/>
      <c r="Y23" s="1494"/>
      <c r="Z23" s="1494"/>
      <c r="AA23" s="1494"/>
      <c r="AB23" s="1494"/>
      <c r="AC23" s="1494" t="s">
        <v>217</v>
      </c>
      <c r="AD23" s="1494" t="s">
        <v>218</v>
      </c>
      <c r="AE23" s="1494" t="s">
        <v>219</v>
      </c>
      <c r="AF23" s="1494" t="s">
        <v>220</v>
      </c>
      <c r="AG23" s="1494" t="s">
        <v>221</v>
      </c>
      <c r="AH23" s="1494" t="str">
        <f>IF($E$23=0,"",$E$23)</f>
        <v>Тарифы на теплоноситель, поставляемый теплоснабжающими организациями потребителям, другим теплоснабжающим организациям</v>
      </c>
      <c r="AI23" s="1494" t="str">
        <f>IF($G$23=0,"",$G$23)</f>
        <v/>
      </c>
      <c r="AJ23" s="1494" t="str">
        <f>IF($J$23=0,"",$J$23)</f>
        <v/>
      </c>
      <c r="AK23" s="1494" t="str">
        <f>IF($K$23="нет","без дифференциации",IF($N$23=0,"",$N$23))</f>
        <v/>
      </c>
      <c r="AL23" s="1494" t="str">
        <f>IF($O$23="нет","без дифференциации",IF($R$23=0,"",$R$23))</f>
        <v/>
      </c>
      <c r="AM23" s="1494" t="str">
        <f>IF($S$23="нет","без дифференциации",IF($V$23=0,"",$V$23))</f>
        <v/>
      </c>
      <c r="AN23" s="1999">
        <f>$I$23</f>
        <v>0</v>
      </c>
      <c r="AO23" s="1494" t="str">
        <f>$I$23&amp;"."&amp;$M$23</f>
        <v>.</v>
      </c>
      <c r="AP23" s="1486" t="str">
        <f>$I$23&amp;"."&amp;$M$23&amp;"."&amp;$Q$23</f>
        <v>..</v>
      </c>
      <c r="AQ23" s="1486" t="str">
        <f>$I$23&amp;"."&amp;$M$23&amp;"."&amp;$Q$23&amp;"."&amp;$U$23</f>
        <v>...</v>
      </c>
    </row>
    <row s="16031" customFormat="1" customHeight="1" ht="17.25" hidden="1">
      <c r="A24" s="543"/>
      <c r="C24" s="542"/>
      <c r="D24" s="2277"/>
      <c r="E24" s="2279"/>
      <c r="F24" s="2282"/>
      <c r="G24" s="2279"/>
      <c r="H24" s="2285"/>
      <c r="I24" s="2287"/>
      <c r="J24" s="2289"/>
      <c r="K24" s="2272"/>
      <c r="L24" s="2272"/>
      <c r="M24" s="2272"/>
      <c r="N24" s="2274"/>
      <c r="O24" s="2272"/>
      <c r="P24" s="2272"/>
      <c r="Q24" s="2272"/>
      <c r="R24" s="2275"/>
      <c r="S24" s="2272"/>
      <c r="T24" s="1524"/>
      <c r="U24" s="1524"/>
      <c r="V24" s="1524"/>
      <c r="W24" s="1525"/>
      <c r="X24" s="1486"/>
      <c r="Y24" s="1486"/>
      <c r="Z24" s="1486"/>
      <c r="AA24" s="1486"/>
      <c r="AB24" s="1486"/>
      <c r="AC24" s="1486"/>
      <c r="AD24" s="1486"/>
      <c r="AE24" s="1486"/>
      <c r="AF24" s="1486"/>
      <c r="AG24" s="1486"/>
      <c r="AH24" s="1486"/>
      <c r="AI24" s="1486"/>
      <c r="AJ24" s="1486"/>
      <c r="AK24" s="1486"/>
      <c r="AL24" s="1486"/>
      <c r="AM24" s="1486"/>
      <c r="AN24" s="1486"/>
      <c r="AO24" s="1486"/>
      <c r="AP24" s="1486"/>
      <c r="AQ24" s="1486"/>
    </row>
    <row s="16031" customFormat="1" customHeight="1" ht="17.25" hidden="1">
      <c r="A25" s="543"/>
      <c r="C25" s="542"/>
      <c r="D25" s="2278"/>
      <c r="E25" s="2280"/>
      <c r="F25" s="2282"/>
      <c r="G25" s="2280"/>
      <c r="H25" s="2285"/>
      <c r="I25" s="2287"/>
      <c r="J25" s="2290"/>
      <c r="K25" s="2272"/>
      <c r="L25" s="2272"/>
      <c r="M25" s="2272"/>
      <c r="N25" s="2275"/>
      <c r="O25" s="2272"/>
      <c r="P25" s="1645"/>
      <c r="Q25" s="1524"/>
      <c r="R25" s="1524"/>
      <c r="S25" s="551"/>
      <c r="T25" s="551"/>
      <c r="U25" s="551"/>
      <c r="V25" s="551"/>
      <c r="W25" s="1525"/>
      <c r="X25" s="1486"/>
      <c r="Y25" s="1486"/>
      <c r="Z25" s="1486"/>
      <c r="AA25" s="1486"/>
      <c r="AB25" s="1486"/>
      <c r="AC25" s="1486"/>
      <c r="AD25" s="1486"/>
      <c r="AE25" s="1486"/>
      <c r="AF25" s="1486"/>
      <c r="AG25" s="1486"/>
      <c r="AH25" s="1486"/>
      <c r="AI25" s="1486"/>
      <c r="AJ25" s="1486"/>
      <c r="AK25" s="1486"/>
      <c r="AL25" s="1486"/>
      <c r="AM25" s="1486"/>
      <c r="AN25" s="1486"/>
      <c r="AO25" s="1486"/>
      <c r="AP25" s="1486"/>
      <c r="AQ25" s="1486"/>
    </row>
    <row s="16031" customFormat="1" customHeight="1" ht="17.25" hidden="1">
      <c r="A26" s="543"/>
      <c r="C26" s="542"/>
      <c r="D26" s="2278"/>
      <c r="E26" s="2280"/>
      <c r="F26" s="2282"/>
      <c r="G26" s="2280"/>
      <c r="H26" s="2285"/>
      <c r="I26" s="2287"/>
      <c r="J26" s="2290"/>
      <c r="K26" s="2272"/>
      <c r="L26" s="1524"/>
      <c r="M26" s="1524"/>
      <c r="N26" s="1524"/>
      <c r="O26" s="1524"/>
      <c r="P26" s="1524"/>
      <c r="Q26" s="1524"/>
      <c r="R26" s="1524"/>
      <c r="S26" s="551"/>
      <c r="T26" s="551"/>
      <c r="U26" s="551"/>
      <c r="V26" s="551"/>
      <c r="W26" s="1525"/>
      <c r="X26" s="1486"/>
      <c r="Y26" s="1486"/>
      <c r="Z26" s="1486"/>
      <c r="AA26" s="1486"/>
      <c r="AB26" s="1486"/>
      <c r="AC26" s="1486"/>
      <c r="AD26" s="1486"/>
      <c r="AE26" s="1486"/>
      <c r="AF26" s="1486"/>
      <c r="AG26" s="1486"/>
      <c r="AH26" s="1486"/>
      <c r="AI26" s="1486"/>
      <c r="AJ26" s="1486"/>
      <c r="AK26" s="1486"/>
      <c r="AL26" s="1486"/>
      <c r="AM26" s="1486"/>
      <c r="AN26" s="1486"/>
      <c r="AO26" s="1486"/>
      <c r="AP26" s="1486"/>
      <c r="AQ26" s="1486"/>
    </row>
    <row s="16031" customFormat="1" customHeight="1" ht="17.25" hidden="1">
      <c r="A27" s="543"/>
      <c r="C27" s="542"/>
      <c r="D27" s="2278"/>
      <c r="E27" s="2280"/>
      <c r="F27" s="2283"/>
      <c r="G27" s="2280"/>
      <c r="H27" s="1526"/>
      <c r="I27" s="1527"/>
      <c r="J27" s="1527"/>
      <c r="K27" s="1527"/>
      <c r="L27" s="1527"/>
      <c r="M27" s="1527"/>
      <c r="N27" s="1527"/>
      <c r="O27" s="1527"/>
      <c r="P27" s="1527"/>
      <c r="Q27" s="1527"/>
      <c r="R27" s="1527"/>
      <c r="S27" s="1528"/>
      <c r="T27" s="1528"/>
      <c r="U27" s="1528"/>
      <c r="V27" s="1528"/>
      <c r="W27" s="1529"/>
      <c r="X27" s="1486"/>
      <c r="Y27" s="1486"/>
      <c r="Z27" s="1486"/>
      <c r="AA27" s="1486"/>
      <c r="AB27" s="1486"/>
      <c r="AC27" s="1486"/>
      <c r="AD27" s="1486"/>
      <c r="AE27" s="1486"/>
      <c r="AF27" s="1486"/>
      <c r="AG27" s="1486"/>
      <c r="AH27" s="1486"/>
      <c r="AI27" s="1486"/>
      <c r="AJ27" s="1486"/>
      <c r="AK27" s="1486"/>
      <c r="AL27" s="1486"/>
      <c r="AM27" s="1486"/>
      <c r="AN27" s="1486"/>
      <c r="AO27" s="1486"/>
      <c r="AP27" s="1486"/>
      <c r="AQ27" s="1486"/>
    </row>
    <row s="16031" customFormat="1" customHeight="1" ht="17.25" hidden="1">
      <c r="A28" s="543"/>
      <c r="C28" s="431"/>
      <c r="D28" s="2277">
        <v>4</v>
      </c>
      <c r="E28" s="2279" t="s">
        <v>222</v>
      </c>
      <c r="F28" s="2281" t="s">
        <v>53</v>
      </c>
      <c r="G28" s="2279"/>
      <c r="H28" s="2284"/>
      <c r="I28" s="2286"/>
      <c r="J28" s="2288"/>
      <c r="K28" s="2271"/>
      <c r="L28" s="2271"/>
      <c r="M28" s="2271"/>
      <c r="N28" s="2273"/>
      <c r="O28" s="2271"/>
      <c r="P28" s="2271"/>
      <c r="Q28" s="2271"/>
      <c r="R28" s="2276"/>
      <c r="S28" s="2271"/>
      <c r="T28" s="1647"/>
      <c r="U28" s="1647"/>
      <c r="V28" s="1646"/>
      <c r="W28" s="1523"/>
      <c r="X28" s="1494"/>
      <c r="Y28" s="1494"/>
      <c r="Z28" s="1494"/>
      <c r="AA28" s="1494"/>
      <c r="AB28" s="1494"/>
      <c r="AC28" s="1494" t="s">
        <v>223</v>
      </c>
      <c r="AD28" s="1494" t="s">
        <v>224</v>
      </c>
      <c r="AE28" s="1494" t="s">
        <v>225</v>
      </c>
      <c r="AF28" s="1494" t="s">
        <v>226</v>
      </c>
      <c r="AG28" s="1494" t="s">
        <v>227</v>
      </c>
      <c r="AH28" s="1494"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494" t="str">
        <f>IF($G$28=0,"",$G$28)</f>
        <v/>
      </c>
      <c r="AJ28" s="1494" t="str">
        <f>IF($J$28=0,"",$J$28)</f>
        <v/>
      </c>
      <c r="AK28" s="1494" t="str">
        <f>IF($K$28="нет","без дифференциации",IF($N$28=0,"",$N$28))</f>
        <v/>
      </c>
      <c r="AL28" s="1494" t="str">
        <f>IF($O$28="нет","без дифференциации",IF($R$28=0,"",$R$28))</f>
        <v/>
      </c>
      <c r="AM28" s="1494" t="str">
        <f>IF($S$28="нет","без дифференциации",IF($V$28=0,"",$V$28))</f>
        <v/>
      </c>
      <c r="AN28" s="1999">
        <f>$I$28</f>
        <v>0</v>
      </c>
      <c r="AO28" s="1494" t="str">
        <f>$I$28&amp;"."&amp;$M$28</f>
        <v>.</v>
      </c>
      <c r="AP28" s="1486" t="str">
        <f>$I$28&amp;"."&amp;$M$28&amp;"."&amp;$Q$28</f>
        <v>..</v>
      </c>
      <c r="AQ28" s="1486" t="str">
        <f>$I$28&amp;"."&amp;$M$28&amp;"."&amp;$Q$28&amp;"."&amp;$U$28</f>
        <v>...</v>
      </c>
    </row>
    <row s="16031" customFormat="1" customHeight="1" ht="17.25" hidden="1">
      <c r="A29" s="543"/>
      <c r="C29" s="542"/>
      <c r="D29" s="2277"/>
      <c r="E29" s="2279"/>
      <c r="F29" s="2282"/>
      <c r="G29" s="2279"/>
      <c r="H29" s="2285"/>
      <c r="I29" s="2287"/>
      <c r="J29" s="2289"/>
      <c r="K29" s="2272"/>
      <c r="L29" s="2272"/>
      <c r="M29" s="2272"/>
      <c r="N29" s="2274"/>
      <c r="O29" s="2272"/>
      <c r="P29" s="2272"/>
      <c r="Q29" s="2272"/>
      <c r="R29" s="2275"/>
      <c r="S29" s="2272"/>
      <c r="T29" s="1524"/>
      <c r="U29" s="1524"/>
      <c r="V29" s="1524"/>
      <c r="W29" s="1525"/>
      <c r="X29" s="1486"/>
      <c r="Y29" s="1486"/>
      <c r="Z29" s="1486"/>
      <c r="AA29" s="1486"/>
      <c r="AB29" s="1486"/>
      <c r="AC29" s="1486"/>
      <c r="AD29" s="1486"/>
      <c r="AE29" s="1486"/>
      <c r="AF29" s="1486"/>
      <c r="AG29" s="1486"/>
      <c r="AH29" s="1486"/>
      <c r="AI29" s="1486"/>
      <c r="AJ29" s="1486"/>
      <c r="AK29" s="1486"/>
      <c r="AL29" s="1486"/>
      <c r="AM29" s="1486"/>
      <c r="AN29" s="1486"/>
      <c r="AO29" s="1486"/>
      <c r="AP29" s="1486"/>
      <c r="AQ29" s="1486"/>
    </row>
    <row s="16031" customFormat="1" customHeight="1" ht="17.25" hidden="1">
      <c r="A30" s="543"/>
      <c r="C30" s="542"/>
      <c r="D30" s="2278"/>
      <c r="E30" s="2280"/>
      <c r="F30" s="2282"/>
      <c r="G30" s="2280"/>
      <c r="H30" s="2285"/>
      <c r="I30" s="2287"/>
      <c r="J30" s="2290"/>
      <c r="K30" s="2272"/>
      <c r="L30" s="2272"/>
      <c r="M30" s="2272"/>
      <c r="N30" s="2275"/>
      <c r="O30" s="2272"/>
      <c r="P30" s="1645"/>
      <c r="Q30" s="1524"/>
      <c r="R30" s="1524"/>
      <c r="S30" s="551"/>
      <c r="T30" s="551"/>
      <c r="U30" s="551"/>
      <c r="V30" s="551"/>
      <c r="W30" s="1525"/>
      <c r="X30" s="1486"/>
      <c r="Y30" s="1486"/>
      <c r="Z30" s="1486"/>
      <c r="AA30" s="1486"/>
      <c r="AB30" s="1486"/>
      <c r="AC30" s="1486"/>
      <c r="AD30" s="1486"/>
      <c r="AE30" s="1486"/>
      <c r="AF30" s="1486"/>
      <c r="AG30" s="1486"/>
      <c r="AH30" s="1486"/>
      <c r="AI30" s="1486"/>
      <c r="AJ30" s="1486"/>
      <c r="AK30" s="1486"/>
      <c r="AL30" s="1486"/>
      <c r="AM30" s="1486"/>
      <c r="AN30" s="1486"/>
      <c r="AO30" s="1486"/>
      <c r="AP30" s="1486"/>
      <c r="AQ30" s="1486"/>
    </row>
    <row s="16031" customFormat="1" customHeight="1" ht="17.25" hidden="1">
      <c r="A31" s="543"/>
      <c r="C31" s="542"/>
      <c r="D31" s="2278"/>
      <c r="E31" s="2280"/>
      <c r="F31" s="2282"/>
      <c r="G31" s="2280"/>
      <c r="H31" s="2285"/>
      <c r="I31" s="2287"/>
      <c r="J31" s="2290"/>
      <c r="K31" s="2272"/>
      <c r="L31" s="1524"/>
      <c r="M31" s="1524"/>
      <c r="N31" s="1524"/>
      <c r="O31" s="1524"/>
      <c r="P31" s="1524"/>
      <c r="Q31" s="1524"/>
      <c r="R31" s="1524"/>
      <c r="S31" s="551"/>
      <c r="T31" s="551"/>
      <c r="U31" s="551"/>
      <c r="V31" s="551"/>
      <c r="W31" s="1525"/>
      <c r="X31" s="1486"/>
      <c r="Y31" s="1486"/>
      <c r="Z31" s="1486"/>
      <c r="AA31" s="1486"/>
      <c r="AB31" s="1486"/>
      <c r="AC31" s="1486"/>
      <c r="AD31" s="1486"/>
      <c r="AE31" s="1486"/>
      <c r="AF31" s="1486"/>
      <c r="AG31" s="1486"/>
      <c r="AH31" s="1486"/>
      <c r="AI31" s="1486"/>
      <c r="AJ31" s="1486"/>
      <c r="AK31" s="1486"/>
      <c r="AL31" s="1486"/>
      <c r="AM31" s="1486"/>
      <c r="AN31" s="1486"/>
      <c r="AO31" s="1486"/>
      <c r="AP31" s="1486"/>
      <c r="AQ31" s="1486"/>
    </row>
    <row s="16031" customFormat="1" customHeight="1" ht="17.25" hidden="1">
      <c r="A32" s="543"/>
      <c r="C32" s="542"/>
      <c r="D32" s="2278"/>
      <c r="E32" s="2280"/>
      <c r="F32" s="2283"/>
      <c r="G32" s="2280"/>
      <c r="H32" s="1526"/>
      <c r="I32" s="1527"/>
      <c r="J32" s="1527"/>
      <c r="K32" s="1527"/>
      <c r="L32" s="1527"/>
      <c r="M32" s="1527"/>
      <c r="N32" s="1527"/>
      <c r="O32" s="1527"/>
      <c r="P32" s="1527"/>
      <c r="Q32" s="1527"/>
      <c r="R32" s="1527"/>
      <c r="S32" s="1528"/>
      <c r="T32" s="1528"/>
      <c r="U32" s="1528"/>
      <c r="V32" s="1528"/>
      <c r="W32" s="1529"/>
      <c r="X32" s="1486"/>
      <c r="Y32" s="1486"/>
      <c r="Z32" s="1486"/>
      <c r="AA32" s="1486"/>
      <c r="AB32" s="1486"/>
      <c r="AC32" s="1486"/>
      <c r="AD32" s="1486"/>
      <c r="AE32" s="1486"/>
      <c r="AF32" s="1486"/>
      <c r="AG32" s="1486"/>
      <c r="AH32" s="1486"/>
      <c r="AI32" s="1486"/>
      <c r="AJ32" s="1486"/>
      <c r="AK32" s="1486"/>
      <c r="AL32" s="1486"/>
      <c r="AM32" s="1486"/>
      <c r="AN32" s="1486"/>
      <c r="AO32" s="1486"/>
      <c r="AP32" s="1486"/>
      <c r="AQ32" s="1486"/>
    </row>
    <row s="16031" customFormat="1" customHeight="1" ht="17.25" hidden="1">
      <c r="A33" s="543"/>
      <c r="C33" s="431"/>
      <c r="D33" s="2277">
        <v>5</v>
      </c>
      <c r="E33" s="2279" t="s">
        <v>228</v>
      </c>
      <c r="F33" s="2281" t="s">
        <v>53</v>
      </c>
      <c r="G33" s="2279"/>
      <c r="H33" s="2284"/>
      <c r="I33" s="2286"/>
      <c r="J33" s="2288"/>
      <c r="K33" s="2271"/>
      <c r="L33" s="2271"/>
      <c r="M33" s="2271"/>
      <c r="N33" s="2273"/>
      <c r="O33" s="2271"/>
      <c r="P33" s="2271"/>
      <c r="Q33" s="2271"/>
      <c r="R33" s="2276"/>
      <c r="S33" s="2271"/>
      <c r="T33" s="1647"/>
      <c r="U33" s="1647"/>
      <c r="V33" s="1646"/>
      <c r="W33" s="1523"/>
      <c r="X33" s="1494"/>
      <c r="Y33" s="1494"/>
      <c r="Z33" s="1494"/>
      <c r="AA33" s="1494"/>
      <c r="AB33" s="1494"/>
      <c r="AC33" s="1494" t="s">
        <v>229</v>
      </c>
      <c r="AD33" s="1494" t="s">
        <v>230</v>
      </c>
      <c r="AE33" s="1494" t="s">
        <v>231</v>
      </c>
      <c r="AF33" s="1494" t="s">
        <v>232</v>
      </c>
      <c r="AG33" s="1494" t="s">
        <v>233</v>
      </c>
      <c r="AH33" s="1494" t="str">
        <f>IF($E$33=0,"",$E$33)</f>
        <v>Тарифы на услуги по передаче тепловой энергии</v>
      </c>
      <c r="AI33" s="1494" t="str">
        <f>IF($G$33=0,"",$G$33)</f>
        <v/>
      </c>
      <c r="AJ33" s="1494" t="str">
        <f>IF($J$33=0,"",$J$33)</f>
        <v/>
      </c>
      <c r="AK33" s="1494" t="str">
        <f>IF($K$33="нет","без дифференциации",IF($N$33=0,"",$N$33))</f>
        <v/>
      </c>
      <c r="AL33" s="1494" t="str">
        <f>IF($O$33="нет","без дифференциации",IF($R$33=0,"",$R$33))</f>
        <v/>
      </c>
      <c r="AM33" s="1494" t="str">
        <f>IF($S$33="нет","без дифференциации",IF($V$33=0,"",$V$33))</f>
        <v/>
      </c>
      <c r="AN33" s="1999">
        <f>$I$33</f>
        <v>0</v>
      </c>
      <c r="AO33" s="1494" t="str">
        <f>$I$33&amp;"."&amp;$M$33</f>
        <v>.</v>
      </c>
      <c r="AP33" s="1486" t="str">
        <f>$I$33&amp;"."&amp;$M$33&amp;"."&amp;$Q$33</f>
        <v>..</v>
      </c>
      <c r="AQ33" s="1486" t="str">
        <f>$I$33&amp;"."&amp;$M$33&amp;"."&amp;$Q$33&amp;"."&amp;$U$33</f>
        <v>...</v>
      </c>
    </row>
    <row s="16031" customFormat="1" customHeight="1" ht="17.25" hidden="1">
      <c r="A34" s="543"/>
      <c r="C34" s="542"/>
      <c r="D34" s="2277"/>
      <c r="E34" s="2279"/>
      <c r="F34" s="2282"/>
      <c r="G34" s="2279"/>
      <c r="H34" s="2285"/>
      <c r="I34" s="2287"/>
      <c r="J34" s="2289"/>
      <c r="K34" s="2272"/>
      <c r="L34" s="2272"/>
      <c r="M34" s="2272"/>
      <c r="N34" s="2274"/>
      <c r="O34" s="2272"/>
      <c r="P34" s="2272"/>
      <c r="Q34" s="2272"/>
      <c r="R34" s="2275"/>
      <c r="S34" s="2272"/>
      <c r="T34" s="1524"/>
      <c r="U34" s="1524"/>
      <c r="V34" s="1524"/>
      <c r="W34" s="1525"/>
      <c r="X34" s="1486"/>
      <c r="Y34" s="1486"/>
      <c r="Z34" s="1486"/>
      <c r="AA34" s="1486"/>
      <c r="AB34" s="1486"/>
      <c r="AC34" s="1486"/>
      <c r="AD34" s="1486"/>
      <c r="AE34" s="1486"/>
      <c r="AF34" s="1486"/>
      <c r="AG34" s="1486"/>
      <c r="AH34" s="1486"/>
      <c r="AI34" s="1486"/>
      <c r="AJ34" s="1486"/>
      <c r="AK34" s="1486"/>
      <c r="AL34" s="1486"/>
      <c r="AM34" s="1486"/>
      <c r="AN34" s="1486"/>
      <c r="AO34" s="1486"/>
      <c r="AP34" s="1486"/>
      <c r="AQ34" s="1486"/>
    </row>
    <row s="16031" customFormat="1" customHeight="1" ht="17.25" hidden="1">
      <c r="A35" s="543"/>
      <c r="C35" s="542"/>
      <c r="D35" s="2278"/>
      <c r="E35" s="2280"/>
      <c r="F35" s="2282"/>
      <c r="G35" s="2280"/>
      <c r="H35" s="2285"/>
      <c r="I35" s="2287"/>
      <c r="J35" s="2290"/>
      <c r="K35" s="2272"/>
      <c r="L35" s="2272"/>
      <c r="M35" s="2272"/>
      <c r="N35" s="2275"/>
      <c r="O35" s="2272"/>
      <c r="P35" s="1645"/>
      <c r="Q35" s="1524"/>
      <c r="R35" s="1524"/>
      <c r="S35" s="551"/>
      <c r="T35" s="551"/>
      <c r="U35" s="551"/>
      <c r="V35" s="551"/>
      <c r="W35" s="1525"/>
      <c r="X35" s="1486"/>
      <c r="Y35" s="1486"/>
      <c r="Z35" s="1486"/>
      <c r="AA35" s="1486"/>
      <c r="AB35" s="1486"/>
      <c r="AC35" s="1486"/>
      <c r="AD35" s="1486"/>
      <c r="AE35" s="1486"/>
      <c r="AF35" s="1486"/>
      <c r="AG35" s="1486"/>
      <c r="AH35" s="1486"/>
      <c r="AI35" s="1486"/>
      <c r="AJ35" s="1486"/>
      <c r="AK35" s="1486"/>
      <c r="AL35" s="1486"/>
      <c r="AM35" s="1486"/>
      <c r="AN35" s="1486"/>
      <c r="AO35" s="1486"/>
      <c r="AP35" s="1486"/>
      <c r="AQ35" s="1486"/>
    </row>
    <row s="16031" customFormat="1" customHeight="1" ht="17.25" hidden="1">
      <c r="A36" s="543"/>
      <c r="C36" s="542"/>
      <c r="D36" s="2278"/>
      <c r="E36" s="2280"/>
      <c r="F36" s="2282"/>
      <c r="G36" s="2280"/>
      <c r="H36" s="2285"/>
      <c r="I36" s="2287"/>
      <c r="J36" s="2290"/>
      <c r="K36" s="2272"/>
      <c r="L36" s="1524"/>
      <c r="M36" s="1524"/>
      <c r="N36" s="1524"/>
      <c r="O36" s="1524"/>
      <c r="P36" s="1524"/>
      <c r="Q36" s="1524"/>
      <c r="R36" s="1524"/>
      <c r="S36" s="551"/>
      <c r="T36" s="551"/>
      <c r="U36" s="551"/>
      <c r="V36" s="551"/>
      <c r="W36" s="1525"/>
      <c r="X36" s="1486"/>
      <c r="Y36" s="1486"/>
      <c r="Z36" s="1486"/>
      <c r="AA36" s="1486"/>
      <c r="AB36" s="1486"/>
      <c r="AC36" s="1486"/>
      <c r="AD36" s="1486"/>
      <c r="AE36" s="1486"/>
      <c r="AF36" s="1486"/>
      <c r="AG36" s="1486"/>
      <c r="AH36" s="1486"/>
      <c r="AI36" s="1486"/>
      <c r="AJ36" s="1486"/>
      <c r="AK36" s="1486"/>
      <c r="AL36" s="1486"/>
      <c r="AM36" s="1486"/>
      <c r="AN36" s="1486"/>
      <c r="AO36" s="1486"/>
      <c r="AP36" s="1486"/>
      <c r="AQ36" s="1486"/>
    </row>
    <row s="16031" customFormat="1" customHeight="1" ht="17.25" hidden="1">
      <c r="A37" s="543"/>
      <c r="C37" s="542"/>
      <c r="D37" s="2278"/>
      <c r="E37" s="2280"/>
      <c r="F37" s="2283"/>
      <c r="G37" s="2280"/>
      <c r="H37" s="1526"/>
      <c r="I37" s="1527"/>
      <c r="J37" s="1527"/>
      <c r="K37" s="1527"/>
      <c r="L37" s="1527"/>
      <c r="M37" s="1527"/>
      <c r="N37" s="1527"/>
      <c r="O37" s="1527"/>
      <c r="P37" s="1527"/>
      <c r="Q37" s="1527"/>
      <c r="R37" s="1527"/>
      <c r="S37" s="1528"/>
      <c r="T37" s="1528"/>
      <c r="U37" s="1528"/>
      <c r="V37" s="1528"/>
      <c r="W37" s="1529"/>
      <c r="X37" s="1486"/>
      <c r="Y37" s="1486"/>
      <c r="Z37" s="1486"/>
      <c r="AA37" s="1486"/>
      <c r="AB37" s="1486"/>
      <c r="AC37" s="1486"/>
      <c r="AD37" s="1486"/>
      <c r="AE37" s="1486"/>
      <c r="AF37" s="1486"/>
      <c r="AG37" s="1486"/>
      <c r="AH37" s="1486"/>
      <c r="AI37" s="1486"/>
      <c r="AJ37" s="1486"/>
      <c r="AK37" s="1486"/>
      <c r="AL37" s="1486"/>
      <c r="AM37" s="1486"/>
      <c r="AN37" s="1486"/>
      <c r="AO37" s="1486"/>
      <c r="AP37" s="1486"/>
      <c r="AQ37" s="1486"/>
    </row>
    <row s="16031" customFormat="1" customHeight="1" ht="17.25" hidden="1">
      <c r="A38" s="543"/>
      <c r="C38" s="431"/>
      <c r="D38" s="2277">
        <v>6</v>
      </c>
      <c r="E38" s="2279" t="s">
        <v>234</v>
      </c>
      <c r="F38" s="2281" t="s">
        <v>53</v>
      </c>
      <c r="G38" s="2279"/>
      <c r="H38" s="2284"/>
      <c r="I38" s="2286"/>
      <c r="J38" s="2288"/>
      <c r="K38" s="2271"/>
      <c r="L38" s="2271"/>
      <c r="M38" s="2271"/>
      <c r="N38" s="2273"/>
      <c r="O38" s="2271"/>
      <c r="P38" s="2271"/>
      <c r="Q38" s="2271"/>
      <c r="R38" s="2276"/>
      <c r="S38" s="2271"/>
      <c r="T38" s="1647"/>
      <c r="U38" s="1647"/>
      <c r="V38" s="1646"/>
      <c r="W38" s="1523"/>
      <c r="X38" s="1494"/>
      <c r="Y38" s="1494"/>
      <c r="Z38" s="1494"/>
      <c r="AA38" s="1494"/>
      <c r="AB38" s="1494"/>
      <c r="AC38" s="1494" t="s">
        <v>235</v>
      </c>
      <c r="AD38" s="1494" t="s">
        <v>236</v>
      </c>
      <c r="AE38" s="1494" t="s">
        <v>237</v>
      </c>
      <c r="AF38" s="1494" t="s">
        <v>238</v>
      </c>
      <c r="AG38" s="1494" t="s">
        <v>239</v>
      </c>
      <c r="AH38" s="1494" t="str">
        <f>IF($E$38=0,"",$E$38)</f>
        <v>Тарифы на услуги по передаче теплоносителя</v>
      </c>
      <c r="AI38" s="1494" t="str">
        <f>IF($G$38=0,"",$G$38)</f>
        <v/>
      </c>
      <c r="AJ38" s="1494" t="str">
        <f>IF($J$38=0,"",$J$38)</f>
        <v/>
      </c>
      <c r="AK38" s="1494" t="str">
        <f>IF($K$38="нет","без дифференциации",IF($N$38=0,"",$N$38))</f>
        <v/>
      </c>
      <c r="AL38" s="1494" t="str">
        <f>IF($O$38="нет","без дифференциации",IF($R$38=0,"",$R$38))</f>
        <v/>
      </c>
      <c r="AM38" s="1494" t="str">
        <f>IF($S$38="нет","без дифференциации",IF($V$38=0,"",$V$38))</f>
        <v/>
      </c>
      <c r="AN38" s="1999">
        <f>$I$38</f>
        <v>0</v>
      </c>
      <c r="AO38" s="1494" t="str">
        <f>$I$38&amp;"."&amp;$M$38</f>
        <v>.</v>
      </c>
      <c r="AP38" s="1486" t="str">
        <f>$I$38&amp;"."&amp;$M$38&amp;"."&amp;$Q$38</f>
        <v>..</v>
      </c>
      <c r="AQ38" s="1486" t="str">
        <f>$I$38&amp;"."&amp;$M$38&amp;"."&amp;$Q$38&amp;"."&amp;$U$38</f>
        <v>...</v>
      </c>
    </row>
    <row s="16031" customFormat="1" customHeight="1" ht="17.25" hidden="1">
      <c r="A39" s="543"/>
      <c r="C39" s="542"/>
      <c r="D39" s="2277"/>
      <c r="E39" s="2279"/>
      <c r="F39" s="2282"/>
      <c r="G39" s="2279"/>
      <c r="H39" s="2285"/>
      <c r="I39" s="2287"/>
      <c r="J39" s="2289"/>
      <c r="K39" s="2272"/>
      <c r="L39" s="2272"/>
      <c r="M39" s="2272"/>
      <c r="N39" s="2274"/>
      <c r="O39" s="2272"/>
      <c r="P39" s="2272"/>
      <c r="Q39" s="2272"/>
      <c r="R39" s="2275"/>
      <c r="S39" s="2272"/>
      <c r="T39" s="1524"/>
      <c r="U39" s="1524"/>
      <c r="V39" s="1524"/>
      <c r="W39" s="1525"/>
      <c r="X39" s="1486"/>
      <c r="Y39" s="1486"/>
      <c r="Z39" s="1486"/>
      <c r="AA39" s="1486"/>
      <c r="AB39" s="1486"/>
      <c r="AC39" s="1486"/>
      <c r="AD39" s="1486"/>
      <c r="AE39" s="1486"/>
      <c r="AF39" s="1486"/>
      <c r="AG39" s="1486"/>
      <c r="AH39" s="1486"/>
      <c r="AI39" s="1486"/>
      <c r="AJ39" s="1486"/>
      <c r="AK39" s="1486"/>
      <c r="AL39" s="1486"/>
      <c r="AM39" s="1486"/>
      <c r="AN39" s="1486"/>
      <c r="AO39" s="1486"/>
      <c r="AP39" s="1486"/>
      <c r="AQ39" s="1486"/>
    </row>
    <row s="16031" customFormat="1" customHeight="1" ht="17.25" hidden="1">
      <c r="A40" s="543"/>
      <c r="C40" s="542"/>
      <c r="D40" s="2278"/>
      <c r="E40" s="2280"/>
      <c r="F40" s="2282"/>
      <c r="G40" s="2280"/>
      <c r="H40" s="2285"/>
      <c r="I40" s="2287"/>
      <c r="J40" s="2290"/>
      <c r="K40" s="2272"/>
      <c r="L40" s="2272"/>
      <c r="M40" s="2272"/>
      <c r="N40" s="2275"/>
      <c r="O40" s="2272"/>
      <c r="P40" s="1645"/>
      <c r="Q40" s="1524"/>
      <c r="R40" s="1524"/>
      <c r="S40" s="551"/>
      <c r="T40" s="551"/>
      <c r="U40" s="551"/>
      <c r="V40" s="551"/>
      <c r="W40" s="1525"/>
      <c r="X40" s="1486"/>
      <c r="Y40" s="1486"/>
      <c r="Z40" s="1486"/>
      <c r="AA40" s="1486"/>
      <c r="AB40" s="1486"/>
      <c r="AC40" s="1486"/>
      <c r="AD40" s="1486"/>
      <c r="AE40" s="1486"/>
      <c r="AF40" s="1486"/>
      <c r="AG40" s="1486"/>
      <c r="AH40" s="1486"/>
      <c r="AI40" s="1486"/>
      <c r="AJ40" s="1486"/>
      <c r="AK40" s="1486"/>
      <c r="AL40" s="1486"/>
      <c r="AM40" s="1486"/>
      <c r="AN40" s="1486"/>
      <c r="AO40" s="1486"/>
      <c r="AP40" s="1486"/>
      <c r="AQ40" s="1486"/>
    </row>
    <row s="16033" customFormat="1" customHeight="1" ht="17.25" hidden="1">
      <c r="A41" s="543"/>
      <c r="C41" s="431"/>
      <c r="D41" s="2278"/>
      <c r="E41" s="2280"/>
      <c r="F41" s="2282"/>
      <c r="G41" s="2280"/>
      <c r="H41" s="2285"/>
      <c r="I41" s="2287"/>
      <c r="J41" s="2290"/>
      <c r="K41" s="2272"/>
      <c r="L41" s="1524"/>
      <c r="M41" s="1524"/>
      <c r="N41" s="1524"/>
      <c r="O41" s="1524"/>
      <c r="P41" s="1524"/>
      <c r="Q41" s="1524"/>
      <c r="R41" s="1524"/>
      <c r="S41" s="551"/>
      <c r="T41" s="551"/>
      <c r="U41" s="551"/>
      <c r="V41" s="551"/>
      <c r="W41" s="1525"/>
      <c r="Y41" s="1494"/>
      <c r="Z41" s="1494"/>
      <c r="AA41" s="1494"/>
      <c r="AB41" s="1494"/>
      <c r="AC41" s="1494"/>
      <c r="AD41" s="1494"/>
      <c r="AE41" s="1494"/>
      <c r="AF41" s="1494"/>
      <c r="AG41" s="1494"/>
      <c r="AH41" s="1494"/>
      <c r="AI41" s="1494"/>
      <c r="AJ41" s="1494"/>
      <c r="AK41" s="1494"/>
      <c r="AL41" s="1494"/>
      <c r="AM41" s="1494"/>
      <c r="AN41" s="1494"/>
      <c r="AO41" s="1494"/>
      <c r="AP41" s="1494"/>
      <c r="AQ41" s="1494"/>
    </row>
    <row s="16031" customFormat="1" customHeight="1" ht="17.25" hidden="1">
      <c r="A42" s="543"/>
      <c r="C42" s="542"/>
      <c r="D42" s="2278"/>
      <c r="E42" s="2280"/>
      <c r="F42" s="2283"/>
      <c r="G42" s="2280"/>
      <c r="H42" s="1526"/>
      <c r="I42" s="1527"/>
      <c r="J42" s="1527"/>
      <c r="K42" s="1527"/>
      <c r="L42" s="1527"/>
      <c r="M42" s="1527"/>
      <c r="N42" s="1527"/>
      <c r="O42" s="1527"/>
      <c r="P42" s="1527"/>
      <c r="Q42" s="1527"/>
      <c r="R42" s="1527"/>
      <c r="S42" s="1528"/>
      <c r="T42" s="1528"/>
      <c r="U42" s="1528"/>
      <c r="V42" s="1528"/>
      <c r="W42" s="1529"/>
      <c r="X42" s="1486"/>
      <c r="Y42" s="1486"/>
      <c r="Z42" s="1486"/>
      <c r="AA42" s="1486"/>
      <c r="AB42" s="1486"/>
      <c r="AC42" s="1486"/>
      <c r="AD42" s="1486"/>
      <c r="AE42" s="1486"/>
      <c r="AF42" s="1486"/>
      <c r="AG42" s="1486"/>
      <c r="AH42" s="1486"/>
      <c r="AI42" s="1486"/>
      <c r="AJ42" s="1486"/>
      <c r="AK42" s="1486"/>
      <c r="AL42" s="1486"/>
      <c r="AM42" s="1486"/>
      <c r="AN42" s="1486"/>
      <c r="AO42" s="1486"/>
      <c r="AP42" s="1486"/>
      <c r="AQ42" s="1486"/>
    </row>
    <row s="16034" customFormat="1" customHeight="1" ht="17.25" hidden="1">
      <c r="A43" s="543"/>
      <c r="C43" s="431"/>
      <c r="D43" s="2294">
        <v>7</v>
      </c>
      <c r="E43" s="2297" t="s">
        <v>240</v>
      </c>
      <c r="F43" s="2281" t="s">
        <v>53</v>
      </c>
      <c r="G43" s="2297"/>
      <c r="H43" s="2284"/>
      <c r="I43" s="2286"/>
      <c r="J43" s="2288"/>
      <c r="K43" s="2271"/>
      <c r="L43" s="2271"/>
      <c r="M43" s="2271"/>
      <c r="N43" s="2273"/>
      <c r="O43" s="2271"/>
      <c r="P43" s="2271"/>
      <c r="Q43" s="2271"/>
      <c r="R43" s="2276"/>
      <c r="S43" s="2271"/>
      <c r="T43" s="1647"/>
      <c r="U43" s="1647"/>
      <c r="V43" s="1646"/>
      <c r="W43" s="1523"/>
      <c r="X43" s="1494"/>
      <c r="Y43" s="1494"/>
      <c r="Z43" s="1494"/>
      <c r="AA43" s="1494"/>
      <c r="AB43" s="1494"/>
      <c r="AC43" s="1494" t="s">
        <v>241</v>
      </c>
      <c r="AD43" s="1494" t="s">
        <v>242</v>
      </c>
      <c r="AE43" s="1494" t="s">
        <v>243</v>
      </c>
      <c r="AF43" s="1494" t="s">
        <v>244</v>
      </c>
      <c r="AG43" s="1494" t="s">
        <v>245</v>
      </c>
      <c r="AH43" s="1494" t="str">
        <f>IF($E$43=0,"",$E$43)</f>
        <v>Плата за услуги по поддержанию резервной тепловой мощности при отсутствии потребления тепловой энергии</v>
      </c>
      <c r="AI43" s="1494" t="str">
        <f>IF($G$43=0,"",$G$43)</f>
        <v/>
      </c>
      <c r="AJ43" s="1494" t="str">
        <f>IF($J$43=0,"",$J$43)</f>
        <v/>
      </c>
      <c r="AK43" s="1494" t="str">
        <f>IF($K$43="нет","без дифференциации",IF($N$43=0,"",$N$43))</f>
        <v/>
      </c>
      <c r="AL43" s="1494" t="str">
        <f>IF($O$43="нет","без дифференциации",IF($R$43=0,"",$R$43))</f>
        <v/>
      </c>
      <c r="AM43" s="1494" t="str">
        <f>IF($S$43="нет","без дифференциации",IF($V$43=0,"",$V$43))</f>
        <v/>
      </c>
      <c r="AN43" s="1999">
        <f>$I$43</f>
        <v>0</v>
      </c>
      <c r="AO43" s="1494" t="str">
        <f>$I$43&amp;"."&amp;$M$43</f>
        <v>.</v>
      </c>
      <c r="AP43" s="1486" t="str">
        <f>$I$43&amp;"."&amp;$M$43&amp;"."&amp;$Q$43</f>
        <v>..</v>
      </c>
      <c r="AQ43" s="1486" t="str">
        <f>$I$43&amp;"."&amp;$M$43&amp;"."&amp;$Q$43&amp;"."&amp;$U$43</f>
        <v>...</v>
      </c>
    </row>
    <row s="16034" customFormat="1" customHeight="1" ht="17.25" hidden="1">
      <c r="A44" s="543"/>
      <c r="C44" s="542"/>
      <c r="D44" s="2295"/>
      <c r="E44" s="2298"/>
      <c r="F44" s="2282"/>
      <c r="G44" s="2298"/>
      <c r="H44" s="2285"/>
      <c r="I44" s="2287"/>
      <c r="J44" s="2289"/>
      <c r="K44" s="2272"/>
      <c r="L44" s="2272"/>
      <c r="M44" s="2272"/>
      <c r="N44" s="2274"/>
      <c r="O44" s="2272"/>
      <c r="P44" s="2272"/>
      <c r="Q44" s="2272"/>
      <c r="R44" s="2275"/>
      <c r="S44" s="2272"/>
      <c r="T44" s="1524"/>
      <c r="U44" s="1524"/>
      <c r="V44" s="1524"/>
      <c r="W44" s="1525"/>
      <c r="X44" s="1486"/>
      <c r="Y44" s="1486"/>
      <c r="Z44" s="1486"/>
      <c r="AA44" s="1486"/>
      <c r="AB44" s="1486"/>
      <c r="AC44" s="1486"/>
      <c r="AD44" s="1486"/>
      <c r="AE44" s="1486"/>
      <c r="AF44" s="1486"/>
      <c r="AG44" s="1486"/>
      <c r="AH44" s="1486"/>
      <c r="AI44" s="1486"/>
      <c r="AJ44" s="1486"/>
      <c r="AK44" s="1486"/>
      <c r="AL44" s="1486"/>
      <c r="AM44" s="1486"/>
      <c r="AN44" s="1486"/>
      <c r="AO44" s="1486"/>
      <c r="AP44" s="1486"/>
      <c r="AQ44" s="1486"/>
    </row>
    <row s="16034" customFormat="1" customHeight="1" ht="17.25" hidden="1">
      <c r="A45" s="543"/>
      <c r="C45" s="542"/>
      <c r="D45" s="2295"/>
      <c r="E45" s="2298"/>
      <c r="F45" s="2282"/>
      <c r="G45" s="2298"/>
      <c r="H45" s="2285"/>
      <c r="I45" s="2287"/>
      <c r="J45" s="2290"/>
      <c r="K45" s="2272"/>
      <c r="L45" s="2272"/>
      <c r="M45" s="2272"/>
      <c r="N45" s="2275"/>
      <c r="O45" s="2272"/>
      <c r="P45" s="1645"/>
      <c r="Q45" s="1524"/>
      <c r="R45" s="1524"/>
      <c r="S45" s="551"/>
      <c r="T45" s="551"/>
      <c r="U45" s="551"/>
      <c r="V45" s="551"/>
      <c r="W45" s="1525"/>
      <c r="X45" s="1486"/>
      <c r="Y45" s="1486"/>
      <c r="Z45" s="1486"/>
      <c r="AA45" s="1486"/>
      <c r="AB45" s="1486"/>
      <c r="AC45" s="1486"/>
      <c r="AD45" s="1486"/>
      <c r="AE45" s="1486"/>
      <c r="AF45" s="1486"/>
      <c r="AG45" s="1486"/>
      <c r="AH45" s="1486"/>
      <c r="AI45" s="1486"/>
      <c r="AJ45" s="1486"/>
      <c r="AK45" s="1486"/>
      <c r="AL45" s="1486"/>
      <c r="AM45" s="1486"/>
      <c r="AN45" s="1486"/>
      <c r="AO45" s="1486"/>
      <c r="AP45" s="1486"/>
      <c r="AQ45" s="1486"/>
    </row>
    <row s="16033" customFormat="1" customHeight="1" ht="17.25" hidden="1">
      <c r="A46" s="543"/>
      <c r="C46" s="431"/>
      <c r="D46" s="2295"/>
      <c r="E46" s="2298"/>
      <c r="F46" s="2282"/>
      <c r="G46" s="2298"/>
      <c r="H46" s="2285"/>
      <c r="I46" s="2287"/>
      <c r="J46" s="2290"/>
      <c r="K46" s="2272"/>
      <c r="L46" s="1524"/>
      <c r="M46" s="1524"/>
      <c r="N46" s="1524"/>
      <c r="O46" s="1524"/>
      <c r="P46" s="1524"/>
      <c r="Q46" s="1524"/>
      <c r="R46" s="1524"/>
      <c r="S46" s="551"/>
      <c r="T46" s="551"/>
      <c r="U46" s="551"/>
      <c r="V46" s="551"/>
      <c r="W46" s="1525"/>
      <c r="Y46" s="1494"/>
      <c r="Z46" s="1494"/>
      <c r="AA46" s="1494"/>
      <c r="AB46" s="1494"/>
      <c r="AC46" s="1494"/>
      <c r="AD46" s="1494"/>
      <c r="AE46" s="1494"/>
      <c r="AF46" s="1494"/>
      <c r="AG46" s="1494"/>
      <c r="AH46" s="1494"/>
      <c r="AI46" s="1494"/>
      <c r="AJ46" s="1494"/>
      <c r="AK46" s="1494"/>
      <c r="AL46" s="1494"/>
      <c r="AM46" s="1494"/>
      <c r="AN46" s="1494"/>
      <c r="AO46" s="1494"/>
      <c r="AP46" s="1494"/>
      <c r="AQ46" s="1494"/>
    </row>
    <row s="16034" customFormat="1" customHeight="1" ht="17.25" hidden="1">
      <c r="A47" s="543"/>
      <c r="C47" s="542"/>
      <c r="D47" s="2296"/>
      <c r="E47" s="2299"/>
      <c r="F47" s="2283"/>
      <c r="G47" s="2299"/>
      <c r="H47" s="1526"/>
      <c r="I47" s="1527"/>
      <c r="J47" s="1527"/>
      <c r="K47" s="1527"/>
      <c r="L47" s="1527"/>
      <c r="M47" s="1527"/>
      <c r="N47" s="1527"/>
      <c r="O47" s="1527"/>
      <c r="P47" s="1527"/>
      <c r="Q47" s="1527"/>
      <c r="R47" s="1527"/>
      <c r="S47" s="1528"/>
      <c r="T47" s="1528"/>
      <c r="U47" s="1528"/>
      <c r="V47" s="1528"/>
      <c r="W47" s="1529"/>
      <c r="X47" s="1486"/>
      <c r="Y47" s="1486"/>
      <c r="Z47" s="1486"/>
      <c r="AA47" s="1486"/>
      <c r="AB47" s="1486"/>
      <c r="AC47" s="1486"/>
      <c r="AD47" s="1486"/>
      <c r="AE47" s="1486"/>
      <c r="AF47" s="1486"/>
      <c r="AG47" s="1486"/>
      <c r="AH47" s="1486"/>
      <c r="AI47" s="1486"/>
      <c r="AJ47" s="1486"/>
      <c r="AK47" s="1486"/>
      <c r="AL47" s="1486"/>
      <c r="AM47" s="1486"/>
      <c r="AN47" s="1486"/>
      <c r="AO47" s="1486"/>
      <c r="AP47" s="1486"/>
      <c r="AQ47" s="1486"/>
    </row>
    <row s="16034" customFormat="1" customHeight="1" ht="17.25" hidden="1">
      <c r="A48" s="543"/>
      <c r="C48" s="431"/>
      <c r="D48" s="2277">
        <v>8</v>
      </c>
      <c r="E48" s="2279" t="s">
        <v>246</v>
      </c>
      <c r="F48" s="2281" t="s">
        <v>53</v>
      </c>
      <c r="G48" s="2279"/>
      <c r="H48" s="2284"/>
      <c r="I48" s="2286"/>
      <c r="J48" s="2288"/>
      <c r="K48" s="2271"/>
      <c r="L48" s="2271"/>
      <c r="M48" s="2271"/>
      <c r="N48" s="2273"/>
      <c r="O48" s="2271"/>
      <c r="P48" s="2271"/>
      <c r="Q48" s="2271"/>
      <c r="R48" s="2276"/>
      <c r="S48" s="2271"/>
      <c r="T48" s="1697"/>
      <c r="U48" s="1697"/>
      <c r="V48" s="1699"/>
      <c r="W48" s="1523"/>
      <c r="X48" s="1494"/>
      <c r="Y48" s="1494"/>
      <c r="Z48" s="1494"/>
      <c r="AA48" s="1494"/>
      <c r="AB48" s="1494"/>
      <c r="AC48" s="1494" t="s">
        <v>247</v>
      </c>
      <c r="AD48" s="1494" t="s">
        <v>248</v>
      </c>
      <c r="AE48" s="1494" t="s">
        <v>249</v>
      </c>
      <c r="AF48" s="1494" t="s">
        <v>250</v>
      </c>
      <c r="AG48" s="1494" t="s">
        <v>251</v>
      </c>
      <c r="AH48" s="1494" t="str">
        <f>IF($E$48=0,"",$E$48)</f>
        <v>Плата за подключение (технологическое присоединение) к системе теплоснабжения</v>
      </c>
      <c r="AI48" s="1494" t="str">
        <f>IF($G$48=0,"",$G$48)</f>
        <v/>
      </c>
      <c r="AJ48" s="1494" t="str">
        <f>IF($J$48=0,"",$J$48)</f>
        <v/>
      </c>
      <c r="AK48" s="1494" t="str">
        <f>IF($K$48="нет","без дифференциации",IF($N$48=0,"",$N$48))</f>
        <v/>
      </c>
      <c r="AL48" s="1494" t="str">
        <f>IF($O$48="нет","без дифференциации",IF($R$48=0,"",$R$48))</f>
        <v/>
      </c>
      <c r="AM48" s="1494" t="str">
        <f>IF($S$48="нет","без дифференциации",IF($V$48=0,"",$V$48))</f>
        <v/>
      </c>
      <c r="AN48" s="1999">
        <f>$I$48</f>
        <v>0</v>
      </c>
      <c r="AO48" s="1494" t="str">
        <f>$I$48&amp;"."&amp;$M$48</f>
        <v>.</v>
      </c>
      <c r="AP48" s="1486" t="str">
        <f>$I$48&amp;"."&amp;$M$48&amp;"."&amp;$Q$48</f>
        <v>..</v>
      </c>
      <c r="AQ48" s="1486" t="str">
        <f>$I$48&amp;"."&amp;$M$48&amp;"."&amp;$Q$48&amp;"."&amp;$U$48</f>
        <v>...</v>
      </c>
    </row>
    <row s="16034" customFormat="1" customHeight="1" ht="17.25" hidden="1">
      <c r="A49" s="543"/>
      <c r="C49" s="542"/>
      <c r="D49" s="2277"/>
      <c r="E49" s="2279"/>
      <c r="F49" s="2282"/>
      <c r="G49" s="2279"/>
      <c r="H49" s="2285"/>
      <c r="I49" s="2287"/>
      <c r="J49" s="2289"/>
      <c r="K49" s="2272"/>
      <c r="L49" s="2272"/>
      <c r="M49" s="2272"/>
      <c r="N49" s="2274"/>
      <c r="O49" s="2272"/>
      <c r="P49" s="2272"/>
      <c r="Q49" s="2272"/>
      <c r="R49" s="2275"/>
      <c r="S49" s="2272"/>
      <c r="T49" s="1524"/>
      <c r="U49" s="1524"/>
      <c r="V49" s="1524"/>
      <c r="W49" s="1525"/>
      <c r="X49" s="1486"/>
      <c r="Y49" s="1486"/>
      <c r="Z49" s="1486"/>
      <c r="AA49" s="1486"/>
      <c r="AB49" s="1486"/>
      <c r="AC49" s="1486"/>
      <c r="AD49" s="1486"/>
      <c r="AE49" s="1486"/>
      <c r="AF49" s="1486"/>
      <c r="AG49" s="1486"/>
      <c r="AH49" s="1486"/>
      <c r="AI49" s="1486"/>
      <c r="AJ49" s="1486"/>
      <c r="AK49" s="1486"/>
      <c r="AL49" s="1486"/>
      <c r="AM49" s="1486"/>
      <c r="AN49" s="1486"/>
      <c r="AO49" s="1486"/>
      <c r="AP49" s="1486"/>
      <c r="AQ49" s="1486"/>
    </row>
    <row s="16034" customFormat="1" customHeight="1" ht="17.25" hidden="1">
      <c r="A50" s="543"/>
      <c r="C50" s="542"/>
      <c r="D50" s="2278"/>
      <c r="E50" s="2280"/>
      <c r="F50" s="2282"/>
      <c r="G50" s="2280"/>
      <c r="H50" s="2285"/>
      <c r="I50" s="2287"/>
      <c r="J50" s="2290"/>
      <c r="K50" s="2272"/>
      <c r="L50" s="2272"/>
      <c r="M50" s="2272"/>
      <c r="N50" s="2275"/>
      <c r="O50" s="2272"/>
      <c r="P50" s="1698"/>
      <c r="Q50" s="1524"/>
      <c r="R50" s="1524"/>
      <c r="S50" s="551"/>
      <c r="T50" s="551"/>
      <c r="U50" s="551"/>
      <c r="V50" s="551"/>
      <c r="W50" s="1525"/>
      <c r="X50" s="1486"/>
      <c r="Y50" s="1486"/>
      <c r="Z50" s="1486"/>
      <c r="AA50" s="1486"/>
      <c r="AB50" s="1486"/>
      <c r="AC50" s="1486"/>
      <c r="AD50" s="1486"/>
      <c r="AE50" s="1486"/>
      <c r="AF50" s="1486"/>
      <c r="AG50" s="1486"/>
      <c r="AH50" s="1486"/>
      <c r="AI50" s="1486"/>
      <c r="AJ50" s="1486"/>
      <c r="AK50" s="1486"/>
      <c r="AL50" s="1486"/>
      <c r="AM50" s="1486"/>
      <c r="AN50" s="1486"/>
      <c r="AO50" s="1486"/>
      <c r="AP50" s="1486"/>
      <c r="AQ50" s="1486"/>
    </row>
    <row s="16033" customFormat="1" customHeight="1" ht="17.25" hidden="1">
      <c r="A51" s="543"/>
      <c r="C51" s="431"/>
      <c r="D51" s="2278"/>
      <c r="E51" s="2280"/>
      <c r="F51" s="2282"/>
      <c r="G51" s="2280"/>
      <c r="H51" s="2285"/>
      <c r="I51" s="2287"/>
      <c r="J51" s="2290"/>
      <c r="K51" s="2272"/>
      <c r="L51" s="1524"/>
      <c r="M51" s="1524"/>
      <c r="N51" s="1524"/>
      <c r="O51" s="1524"/>
      <c r="P51" s="1524"/>
      <c r="Q51" s="1524"/>
      <c r="R51" s="1524"/>
      <c r="S51" s="551"/>
      <c r="T51" s="551"/>
      <c r="U51" s="551"/>
      <c r="V51" s="551"/>
      <c r="W51" s="1525"/>
      <c r="Y51" s="1494"/>
      <c r="Z51" s="1494"/>
      <c r="AA51" s="1494"/>
      <c r="AB51" s="1494"/>
      <c r="AC51" s="1494"/>
      <c r="AD51" s="1494"/>
      <c r="AE51" s="1494"/>
      <c r="AF51" s="1494"/>
      <c r="AG51" s="1494"/>
      <c r="AH51" s="1494"/>
      <c r="AI51" s="1494"/>
      <c r="AJ51" s="1494"/>
      <c r="AK51" s="1494"/>
      <c r="AL51" s="1494"/>
      <c r="AM51" s="1494"/>
      <c r="AN51" s="1494"/>
      <c r="AO51" s="1494"/>
      <c r="AP51" s="1494"/>
      <c r="AQ51" s="1494"/>
    </row>
    <row s="16034" customFormat="1" customHeight="1" ht="17.25" hidden="1">
      <c r="A52" s="543"/>
      <c r="C52" s="542"/>
      <c r="D52" s="2278"/>
      <c r="E52" s="2280"/>
      <c r="F52" s="2283"/>
      <c r="G52" s="2280"/>
      <c r="H52" s="1526"/>
      <c r="I52" s="1527"/>
      <c r="J52" s="1527"/>
      <c r="K52" s="1527"/>
      <c r="L52" s="1527"/>
      <c r="M52" s="1527"/>
      <c r="N52" s="1527"/>
      <c r="O52" s="1527"/>
      <c r="P52" s="1527"/>
      <c r="Q52" s="1527"/>
      <c r="R52" s="1527"/>
      <c r="S52" s="1528"/>
      <c r="T52" s="1528"/>
      <c r="U52" s="1528"/>
      <c r="V52" s="1528"/>
      <c r="W52" s="1529"/>
      <c r="X52" s="1486"/>
      <c r="Y52" s="1486"/>
      <c r="Z52" s="1486"/>
      <c r="AA52" s="1486"/>
      <c r="AB52" s="1486"/>
      <c r="AC52" s="1486"/>
      <c r="AD52" s="1486"/>
      <c r="AE52" s="1486"/>
      <c r="AF52" s="1486"/>
      <c r="AG52" s="1486"/>
      <c r="AH52" s="1486"/>
      <c r="AI52" s="1486"/>
      <c r="AJ52" s="1486"/>
      <c r="AK52" s="1486"/>
      <c r="AL52" s="1486"/>
      <c r="AM52" s="1486"/>
      <c r="AN52" s="1486"/>
      <c r="AO52" s="1486"/>
      <c r="AP52" s="1486"/>
      <c r="AQ52" s="1486"/>
    </row>
    <row s="16044" customFormat="1" customHeight="1" ht="17.25" hidden="1">
      <c r="A53" s="543"/>
      <c r="C53" s="431"/>
      <c r="D53" s="2277">
        <v>9</v>
      </c>
      <c r="E53" s="2279" t="s">
        <v>252</v>
      </c>
      <c r="F53" s="2281" t="s">
        <v>53</v>
      </c>
      <c r="G53" s="2279"/>
      <c r="H53" s="2284"/>
      <c r="I53" s="2286"/>
      <c r="J53" s="2288"/>
      <c r="K53" s="2271"/>
      <c r="L53" s="2271"/>
      <c r="M53" s="2271"/>
      <c r="N53" s="2273"/>
      <c r="O53" s="2271"/>
      <c r="P53" s="2271"/>
      <c r="Q53" s="2271"/>
      <c r="R53" s="2276"/>
      <c r="S53" s="2271"/>
      <c r="T53" s="2159"/>
      <c r="U53" s="2159"/>
      <c r="V53" s="2161"/>
      <c r="W53" s="1523"/>
      <c r="X53" s="1494"/>
      <c r="Y53" s="1494"/>
      <c r="Z53" s="1494"/>
      <c r="AA53" s="1494"/>
      <c r="AB53" s="1494"/>
      <c r="AC53" s="1494" t="s">
        <v>253</v>
      </c>
      <c r="AD53" s="1494" t="s">
        <v>254</v>
      </c>
      <c r="AE53" s="1494" t="s">
        <v>255</v>
      </c>
      <c r="AF53" s="1494" t="s">
        <v>256</v>
      </c>
      <c r="AG53" s="1494" t="s">
        <v>257</v>
      </c>
      <c r="AH53" s="1494" t="str">
        <f>IF($E$53=0,"",$E$53)</f>
        <v>Плата за подключение к системе теплоснабжения (индивидуальная)</v>
      </c>
      <c r="AI53" s="1494" t="str">
        <f>IF($G$53=0,"",$G$53)</f>
        <v/>
      </c>
      <c r="AJ53" s="1494" t="str">
        <f>IF($J$53=0,"",$J$53)</f>
        <v/>
      </c>
      <c r="AK53" s="1494" t="str">
        <f>IF($K$53="нет","без дифференциации",IF($N$53=0,"",$N$53))</f>
        <v/>
      </c>
      <c r="AL53" s="1494" t="str">
        <f>IF($O$53="нет","без дифференциации",IF($R$53=0,"",$R$53))</f>
        <v/>
      </c>
      <c r="AM53" s="1494" t="str">
        <f>IF($S$53="нет","без дифференциации",IF($V$53=0,"",$V$53))</f>
        <v/>
      </c>
      <c r="AN53" s="1999">
        <f>$I$53</f>
        <v>0</v>
      </c>
      <c r="AO53" s="1494" t="str">
        <f>$I$53&amp;"."&amp;$M$53</f>
        <v>.</v>
      </c>
      <c r="AP53" s="1493" t="str">
        <f>$I$53&amp;"."&amp;$M$53&amp;"."&amp;$Q$53</f>
        <v>..</v>
      </c>
      <c r="AQ53" s="1493" t="str">
        <f>$I$53&amp;"."&amp;$M$53&amp;"."&amp;$Q$53&amp;"."&amp;$U$53</f>
        <v>...</v>
      </c>
    </row>
    <row s="16044" customFormat="1" customHeight="1" ht="17.25" hidden="1">
      <c r="A54" s="543"/>
      <c r="C54" s="542"/>
      <c r="D54" s="2277"/>
      <c r="E54" s="2279"/>
      <c r="F54" s="2282"/>
      <c r="G54" s="2279"/>
      <c r="H54" s="2285"/>
      <c r="I54" s="2287"/>
      <c r="J54" s="2289"/>
      <c r="K54" s="2272"/>
      <c r="L54" s="2272"/>
      <c r="M54" s="2272"/>
      <c r="N54" s="2274"/>
      <c r="O54" s="2272"/>
      <c r="P54" s="2272"/>
      <c r="Q54" s="2272"/>
      <c r="R54" s="2275"/>
      <c r="S54" s="2272"/>
      <c r="T54" s="2162"/>
      <c r="U54" s="2162"/>
      <c r="V54" s="2162"/>
      <c r="W54" s="2163"/>
      <c r="X54" s="1493"/>
      <c r="Y54" s="1493"/>
      <c r="Z54" s="1493"/>
      <c r="AA54" s="1493"/>
      <c r="AB54" s="1493"/>
      <c r="AC54" s="1493"/>
      <c r="AD54" s="1493"/>
      <c r="AE54" s="1493"/>
      <c r="AF54" s="1493"/>
      <c r="AG54" s="1493"/>
      <c r="AH54" s="1493"/>
      <c r="AI54" s="1493"/>
      <c r="AJ54" s="1493"/>
      <c r="AK54" s="1493"/>
      <c r="AL54" s="1493"/>
      <c r="AM54" s="1493"/>
      <c r="AN54" s="1493"/>
      <c r="AO54" s="1493"/>
      <c r="AP54" s="1493"/>
      <c r="AQ54" s="1493"/>
    </row>
    <row s="16044" customFormat="1" customHeight="1" ht="17.25" hidden="1">
      <c r="A55" s="543"/>
      <c r="C55" s="542"/>
      <c r="D55" s="2278"/>
      <c r="E55" s="2280"/>
      <c r="F55" s="2282"/>
      <c r="G55" s="2280"/>
      <c r="H55" s="2285"/>
      <c r="I55" s="2287"/>
      <c r="J55" s="2290"/>
      <c r="K55" s="2272"/>
      <c r="L55" s="2272"/>
      <c r="M55" s="2272"/>
      <c r="N55" s="2275"/>
      <c r="O55" s="2272"/>
      <c r="P55" s="2160"/>
      <c r="Q55" s="2162"/>
      <c r="R55" s="2162"/>
      <c r="S55" s="551"/>
      <c r="T55" s="551"/>
      <c r="U55" s="551"/>
      <c r="V55" s="551"/>
      <c r="W55" s="2163"/>
      <c r="X55" s="1493"/>
      <c r="Y55" s="1493"/>
      <c r="Z55" s="1493"/>
      <c r="AA55" s="1493"/>
      <c r="AB55" s="1493"/>
      <c r="AC55" s="1493"/>
      <c r="AD55" s="1493"/>
      <c r="AE55" s="1493"/>
      <c r="AF55" s="1493"/>
      <c r="AG55" s="1493"/>
      <c r="AH55" s="1493"/>
      <c r="AI55" s="1493"/>
      <c r="AJ55" s="1493"/>
      <c r="AK55" s="1493"/>
      <c r="AL55" s="1493"/>
      <c r="AM55" s="1493"/>
      <c r="AN55" s="1493"/>
      <c r="AO55" s="1493"/>
      <c r="AP55" s="1493"/>
      <c r="AQ55" s="1493"/>
    </row>
    <row s="16044" customFormat="1" customHeight="1" ht="17.25" hidden="1">
      <c r="A56" s="543"/>
      <c r="C56" s="431"/>
      <c r="D56" s="2278"/>
      <c r="E56" s="2280"/>
      <c r="F56" s="2282"/>
      <c r="G56" s="2280"/>
      <c r="H56" s="2285"/>
      <c r="I56" s="2287"/>
      <c r="J56" s="2290"/>
      <c r="K56" s="2272"/>
      <c r="L56" s="2162"/>
      <c r="M56" s="2162"/>
      <c r="N56" s="2162"/>
      <c r="O56" s="2162"/>
      <c r="P56" s="2162"/>
      <c r="Q56" s="2162"/>
      <c r="R56" s="2162"/>
      <c r="S56" s="551"/>
      <c r="T56" s="551"/>
      <c r="U56" s="551"/>
      <c r="V56" s="551"/>
      <c r="W56" s="2163"/>
      <c r="Y56" s="1494"/>
      <c r="Z56" s="1494"/>
      <c r="AA56" s="1494"/>
      <c r="AB56" s="1494"/>
      <c r="AC56" s="1494"/>
      <c r="AD56" s="1494"/>
      <c r="AE56" s="1494"/>
      <c r="AF56" s="1494"/>
      <c r="AG56" s="1494"/>
      <c r="AH56" s="1494"/>
      <c r="AI56" s="1494"/>
      <c r="AJ56" s="1494"/>
      <c r="AK56" s="1494"/>
      <c r="AL56" s="1494"/>
      <c r="AM56" s="1494"/>
      <c r="AN56" s="1494"/>
      <c r="AO56" s="1494"/>
      <c r="AP56" s="1494"/>
      <c r="AQ56" s="1494"/>
    </row>
    <row s="16044" customFormat="1" customHeight="1" ht="17.25" hidden="1">
      <c r="A57" s="543"/>
      <c r="C57" s="542"/>
      <c r="D57" s="2278"/>
      <c r="E57" s="2280"/>
      <c r="F57" s="2283"/>
      <c r="G57" s="2280"/>
      <c r="H57" s="1526"/>
      <c r="I57" s="2164"/>
      <c r="J57" s="2164"/>
      <c r="K57" s="2164"/>
      <c r="L57" s="2164"/>
      <c r="M57" s="2164"/>
      <c r="N57" s="2164"/>
      <c r="O57" s="2164"/>
      <c r="P57" s="2164"/>
      <c r="Q57" s="2164"/>
      <c r="R57" s="2164"/>
      <c r="S57" s="1528"/>
      <c r="T57" s="1528"/>
      <c r="U57" s="1528"/>
      <c r="V57" s="1528"/>
      <c r="W57" s="2165"/>
      <c r="X57" s="1493"/>
      <c r="Y57" s="1493"/>
      <c r="Z57" s="1493"/>
      <c r="AA57" s="1493"/>
      <c r="AB57" s="1493"/>
      <c r="AC57" s="1493"/>
      <c r="AD57" s="1493"/>
      <c r="AE57" s="1493"/>
      <c r="AF57" s="1493"/>
      <c r="AG57" s="1493"/>
      <c r="AH57" s="1493"/>
      <c r="AI57" s="1493"/>
      <c r="AJ57" s="1493"/>
      <c r="AK57" s="1493"/>
      <c r="AL57" s="1493"/>
      <c r="AM57" s="1493"/>
      <c r="AN57" s="1493"/>
      <c r="AO57" s="1493"/>
      <c r="AP57" s="1493"/>
      <c r="AQ57" s="1493"/>
    </row>
    <row s="16044" customFormat="1" customHeight="1" ht="17.25" hidden="1">
      <c r="A58" s="543"/>
      <c r="C58" s="431"/>
      <c r="D58" s="2277">
        <v>10</v>
      </c>
      <c r="E58" s="2279" t="s">
        <v>258</v>
      </c>
      <c r="F58" s="2281" t="s">
        <v>53</v>
      </c>
      <c r="G58" s="2279"/>
      <c r="H58" s="2284"/>
      <c r="I58" s="2286"/>
      <c r="J58" s="2288"/>
      <c r="K58" s="2271"/>
      <c r="L58" s="2271"/>
      <c r="M58" s="2271"/>
      <c r="N58" s="2273"/>
      <c r="O58" s="2271"/>
      <c r="P58" s="2271"/>
      <c r="Q58" s="2271"/>
      <c r="R58" s="2276"/>
      <c r="S58" s="2271"/>
      <c r="T58" s="2159"/>
      <c r="U58" s="2159"/>
      <c r="V58" s="2161"/>
      <c r="W58" s="1523"/>
      <c r="X58" s="1494"/>
      <c r="Y58" s="1494"/>
      <c r="Z58" s="1494"/>
      <c r="AA58" s="1494"/>
      <c r="AB58" s="1494"/>
      <c r="AC58" s="1494" t="s">
        <v>259</v>
      </c>
      <c r="AD58" s="1494" t="s">
        <v>260</v>
      </c>
      <c r="AE58" s="1494" t="s">
        <v>261</v>
      </c>
      <c r="AF58" s="1494" t="s">
        <v>262</v>
      </c>
      <c r="AG58" s="1494" t="s">
        <v>263</v>
      </c>
      <c r="AH58" s="1494" t="str">
        <f>IF($E$58=0,"",$E$58)</f>
        <v>Предельный уровень цены на тепловую энергию (мощность), поставляемую теплоснабжающими организациями потребителям</v>
      </c>
      <c r="AI58" s="1494" t="str">
        <f>IF($G$58=0,"",$G$58)</f>
        <v/>
      </c>
      <c r="AJ58" s="1494" t="str">
        <f>IF($J$58=0,"",$J$58)</f>
        <v/>
      </c>
      <c r="AK58" s="1494" t="str">
        <f>IF($K$58="нет","без дифференциации",IF($N$58=0,"",$N$58))</f>
        <v/>
      </c>
      <c r="AL58" s="1494" t="str">
        <f>IF($O$58="нет","без дифференциации",IF($R$58=0,"",$R$58))</f>
        <v/>
      </c>
      <c r="AM58" s="1494" t="str">
        <f>IF($S$58="нет","без дифференциации",IF($V$58=0,"",$V$58))</f>
        <v/>
      </c>
      <c r="AN58" s="1999">
        <f>$I$58</f>
        <v>0</v>
      </c>
      <c r="AO58" s="1494" t="str">
        <f>$I$58&amp;"."&amp;$M$58</f>
        <v>.</v>
      </c>
      <c r="AP58" s="1493" t="str">
        <f>$I$58&amp;"."&amp;$M$58&amp;"."&amp;$Q$58</f>
        <v>..</v>
      </c>
      <c r="AQ58" s="1493" t="str">
        <f>$I$58&amp;"."&amp;$M$58&amp;"."&amp;$Q$58&amp;"."&amp;$U$58</f>
        <v>...</v>
      </c>
    </row>
    <row s="16044" customFormat="1" customHeight="1" ht="17.25" hidden="1">
      <c r="A59" s="543"/>
      <c r="C59" s="542"/>
      <c r="D59" s="2277"/>
      <c r="E59" s="2279"/>
      <c r="F59" s="2282"/>
      <c r="G59" s="2279"/>
      <c r="H59" s="2285"/>
      <c r="I59" s="2287"/>
      <c r="J59" s="2289"/>
      <c r="K59" s="2272"/>
      <c r="L59" s="2272"/>
      <c r="M59" s="2272"/>
      <c r="N59" s="2274"/>
      <c r="O59" s="2272"/>
      <c r="P59" s="2272"/>
      <c r="Q59" s="2272"/>
      <c r="R59" s="2275"/>
      <c r="S59" s="2272"/>
      <c r="T59" s="2162"/>
      <c r="U59" s="2162"/>
      <c r="V59" s="2162"/>
      <c r="W59" s="2163"/>
      <c r="X59" s="1493"/>
      <c r="Y59" s="1493"/>
      <c r="Z59" s="1493"/>
      <c r="AA59" s="1493"/>
      <c r="AB59" s="1493"/>
      <c r="AC59" s="1493"/>
      <c r="AD59" s="1493"/>
      <c r="AE59" s="1493"/>
      <c r="AF59" s="1493"/>
      <c r="AG59" s="1493"/>
      <c r="AH59" s="1493"/>
      <c r="AI59" s="1493"/>
      <c r="AJ59" s="1493"/>
      <c r="AK59" s="1493"/>
      <c r="AL59" s="1493"/>
      <c r="AM59" s="1493"/>
      <c r="AN59" s="1493"/>
      <c r="AO59" s="1493"/>
      <c r="AP59" s="1493"/>
      <c r="AQ59" s="1493"/>
    </row>
    <row s="16044" customFormat="1" customHeight="1" ht="17.25" hidden="1">
      <c r="A60" s="543"/>
      <c r="C60" s="542"/>
      <c r="D60" s="2278"/>
      <c r="E60" s="2280"/>
      <c r="F60" s="2282"/>
      <c r="G60" s="2280"/>
      <c r="H60" s="2285"/>
      <c r="I60" s="2287"/>
      <c r="J60" s="2290"/>
      <c r="K60" s="2272"/>
      <c r="L60" s="2272"/>
      <c r="M60" s="2272"/>
      <c r="N60" s="2275"/>
      <c r="O60" s="2272"/>
      <c r="P60" s="2160"/>
      <c r="Q60" s="2162"/>
      <c r="R60" s="2162"/>
      <c r="S60" s="551"/>
      <c r="T60" s="551"/>
      <c r="U60" s="551"/>
      <c r="V60" s="551"/>
      <c r="W60" s="2163"/>
      <c r="X60" s="1493"/>
      <c r="Y60" s="1493"/>
      <c r="Z60" s="1493"/>
      <c r="AA60" s="1493"/>
      <c r="AB60" s="1493"/>
      <c r="AC60" s="1493"/>
      <c r="AD60" s="1493"/>
      <c r="AE60" s="1493"/>
      <c r="AF60" s="1493"/>
      <c r="AG60" s="1493"/>
      <c r="AH60" s="1493"/>
      <c r="AI60" s="1493"/>
      <c r="AJ60" s="1493"/>
      <c r="AK60" s="1493"/>
      <c r="AL60" s="1493"/>
      <c r="AM60" s="1493"/>
      <c r="AN60" s="1493"/>
      <c r="AO60" s="1493"/>
      <c r="AP60" s="1493"/>
      <c r="AQ60" s="1493"/>
    </row>
    <row s="16044" customFormat="1" customHeight="1" ht="17.25" hidden="1">
      <c r="A61" s="543"/>
      <c r="C61" s="431"/>
      <c r="D61" s="2278"/>
      <c r="E61" s="2280"/>
      <c r="F61" s="2282"/>
      <c r="G61" s="2280"/>
      <c r="H61" s="2285"/>
      <c r="I61" s="2287"/>
      <c r="J61" s="2290"/>
      <c r="K61" s="2272"/>
      <c r="L61" s="2162"/>
      <c r="M61" s="2162"/>
      <c r="N61" s="2162"/>
      <c r="O61" s="2162"/>
      <c r="P61" s="2162"/>
      <c r="Q61" s="2162"/>
      <c r="R61" s="2162"/>
      <c r="S61" s="551"/>
      <c r="T61" s="551"/>
      <c r="U61" s="551"/>
      <c r="V61" s="551"/>
      <c r="W61" s="2163"/>
      <c r="Y61" s="1494"/>
      <c r="Z61" s="1494"/>
      <c r="AA61" s="1494"/>
      <c r="AB61" s="1494"/>
      <c r="AC61" s="1494"/>
      <c r="AD61" s="1494"/>
      <c r="AE61" s="1494"/>
      <c r="AF61" s="1494"/>
      <c r="AG61" s="1494"/>
      <c r="AH61" s="1494"/>
      <c r="AI61" s="1494"/>
      <c r="AJ61" s="1494"/>
      <c r="AK61" s="1494"/>
      <c r="AL61" s="1494"/>
      <c r="AM61" s="1494"/>
      <c r="AN61" s="1494"/>
      <c r="AO61" s="1494"/>
      <c r="AP61" s="1494"/>
      <c r="AQ61" s="1494"/>
    </row>
    <row s="16044" customFormat="1" customHeight="1" ht="17.25" hidden="1">
      <c r="A62" s="543"/>
      <c r="C62" s="542"/>
      <c r="D62" s="2278"/>
      <c r="E62" s="2280"/>
      <c r="F62" s="2283"/>
      <c r="G62" s="2280"/>
      <c r="H62" s="1526"/>
      <c r="I62" s="2164"/>
      <c r="J62" s="2164"/>
      <c r="K62" s="2164"/>
      <c r="L62" s="2164"/>
      <c r="M62" s="2164"/>
      <c r="N62" s="2164"/>
      <c r="O62" s="2164"/>
      <c r="P62" s="2164"/>
      <c r="Q62" s="2164"/>
      <c r="R62" s="2164"/>
      <c r="S62" s="1528"/>
      <c r="T62" s="1528"/>
      <c r="U62" s="1528"/>
      <c r="V62" s="1528"/>
      <c r="W62" s="2165"/>
      <c r="X62" s="1493"/>
      <c r="Y62" s="1493"/>
      <c r="Z62" s="1493"/>
      <c r="AA62" s="1493"/>
      <c r="AB62" s="1493"/>
      <c r="AC62" s="1493"/>
      <c r="AD62" s="1493"/>
      <c r="AE62" s="1493"/>
      <c r="AF62" s="1493"/>
      <c r="AG62" s="1493"/>
      <c r="AH62" s="1493"/>
      <c r="AI62" s="1493"/>
      <c r="AJ62" s="1493"/>
      <c r="AK62" s="1493"/>
      <c r="AL62" s="1493"/>
      <c r="AM62" s="1493"/>
      <c r="AN62" s="1493"/>
      <c r="AO62" s="1493"/>
      <c r="AP62" s="1493"/>
      <c r="AQ62" s="1493"/>
    </row>
    <row customHeight="1" ht="11.25" hidden="1"/>
    <row customHeight="1" ht="11.25" hidden="1">
      <c r="E64" s="2293" t="s">
        <v>264</v>
      </c>
      <c r="F64" s="2293"/>
      <c r="G64" s="2293"/>
      <c r="H64" s="2293"/>
      <c r="I64" s="2293"/>
      <c r="J64" s="2293"/>
      <c r="K64" s="2293"/>
      <c r="L64" s="2293"/>
      <c r="M64" s="2293"/>
      <c r="N64" s="2293"/>
      <c r="O64" s="2293"/>
      <c r="P64" s="2293"/>
      <c r="Q64" s="2293"/>
      <c r="R64" s="2293"/>
      <c r="S64" s="2293"/>
      <c r="T64" s="2293"/>
      <c r="U64" s="2293"/>
      <c r="V64" s="2293"/>
      <c r="W64" s="2293"/>
    </row>
    <row customHeight="1" ht="36.75" hidden="1">
      <c r="E65" s="2291" t="s">
        <v>265</v>
      </c>
      <c r="F65" s="2291"/>
      <c r="G65" s="2292"/>
      <c r="H65" s="2292"/>
      <c r="I65" s="2292"/>
      <c r="J65" s="2292"/>
      <c r="K65" s="2292"/>
      <c r="L65" s="2292"/>
      <c r="M65" s="2292"/>
      <c r="N65" s="2292"/>
      <c r="O65" s="2292"/>
      <c r="P65" s="2292"/>
      <c r="Q65" s="2292"/>
      <c r="R65" s="2292"/>
      <c r="S65" s="2292"/>
      <c r="T65" s="2292"/>
      <c r="U65" s="2292"/>
      <c r="V65" s="2292"/>
      <c r="W65" s="2292"/>
    </row>
    <row customHeight="1" ht="28.5" hidden="1">
      <c r="E66" s="2291" t="s">
        <v>266</v>
      </c>
      <c r="F66" s="2291"/>
      <c r="G66" s="2292"/>
      <c r="H66" s="2292"/>
      <c r="I66" s="2292"/>
      <c r="J66" s="2292"/>
      <c r="K66" s="2292"/>
      <c r="L66" s="2292"/>
      <c r="M66" s="2292"/>
      <c r="N66" s="2292"/>
      <c r="O66" s="2292"/>
      <c r="P66" s="2292"/>
      <c r="Q66" s="2292"/>
      <c r="R66" s="2292"/>
      <c r="S66" s="2292"/>
      <c r="T66" s="2292"/>
      <c r="U66" s="2292"/>
      <c r="V66" s="2292"/>
      <c r="W66" s="2292"/>
    </row>
    <row customHeight="1" ht="27" hidden="1">
      <c r="E67" s="2291" t="s">
        <v>267</v>
      </c>
      <c r="F67" s="2291"/>
      <c r="G67" s="2292"/>
      <c r="H67" s="2292"/>
      <c r="I67" s="2292"/>
      <c r="J67" s="2292"/>
      <c r="K67" s="2292"/>
      <c r="L67" s="2292"/>
      <c r="M67" s="2292"/>
      <c r="N67" s="2292"/>
      <c r="O67" s="2292"/>
      <c r="P67" s="2292"/>
      <c r="Q67" s="2292"/>
      <c r="R67" s="2292"/>
      <c r="S67" s="2292"/>
      <c r="T67" s="2292"/>
      <c r="U67" s="2292"/>
      <c r="V67" s="2292"/>
      <c r="W67" s="2292"/>
    </row>
    <row customHeight="1" ht="17.25" hidden="1">
      <c r="E68" s="2291" t="s">
        <v>268</v>
      </c>
      <c r="F68" s="2291"/>
      <c r="G68" s="2292"/>
      <c r="H68" s="2292"/>
      <c r="I68" s="2292"/>
      <c r="J68" s="2292"/>
      <c r="K68" s="2292"/>
      <c r="L68" s="2292"/>
      <c r="M68" s="2292"/>
      <c r="N68" s="2292"/>
      <c r="O68" s="2292"/>
      <c r="P68" s="2292"/>
      <c r="Q68" s="2292"/>
      <c r="R68" s="2292"/>
      <c r="S68" s="2292"/>
      <c r="T68" s="2292"/>
      <c r="U68" s="2292"/>
      <c r="V68" s="2292"/>
      <c r="W68" s="2292"/>
    </row>
    <row customHeight="1" ht="15" hidden="1">
      <c r="E69" s="562"/>
      <c r="F69" s="1512"/>
      <c r="G69" s="380"/>
      <c r="H69" s="380"/>
      <c r="I69" s="380"/>
      <c r="J69" s="380"/>
      <c r="K69" s="380"/>
      <c r="L69" s="380"/>
      <c r="M69" s="380"/>
      <c r="N69" s="380"/>
      <c r="O69" s="380"/>
      <c r="P69" s="380"/>
      <c r="Q69" s="380"/>
      <c r="R69" s="380"/>
      <c r="S69" s="380"/>
      <c r="T69" s="380"/>
      <c r="U69" s="380"/>
      <c r="V69" s="380"/>
      <c r="W69" s="380"/>
    </row>
    <row customHeight="1" ht="15" hidden="1">
      <c r="E70" s="2293" t="s">
        <v>269</v>
      </c>
      <c r="F70" s="2293"/>
      <c r="G70" s="2293"/>
      <c r="H70" s="2293"/>
      <c r="I70" s="2293"/>
      <c r="J70" s="2293"/>
      <c r="K70" s="2293"/>
      <c r="L70" s="2293"/>
      <c r="M70" s="2293"/>
      <c r="N70" s="2293"/>
      <c r="O70" s="2293"/>
      <c r="P70" s="2293"/>
      <c r="Q70" s="2293"/>
      <c r="R70" s="2293"/>
      <c r="S70" s="2293"/>
      <c r="T70" s="2293"/>
      <c r="U70" s="2293"/>
      <c r="V70" s="2293"/>
      <c r="W70" s="2293"/>
    </row>
    <row customHeight="1" ht="17.25" hidden="1">
      <c r="E71" s="2291" t="s">
        <v>270</v>
      </c>
      <c r="F71" s="2291"/>
      <c r="G71" s="2292"/>
      <c r="H71" s="2292"/>
      <c r="I71" s="2292"/>
      <c r="J71" s="2292"/>
      <c r="K71" s="2292"/>
      <c r="L71" s="2292"/>
      <c r="M71" s="2292"/>
      <c r="N71" s="2292"/>
      <c r="O71" s="2292"/>
      <c r="P71" s="2292"/>
      <c r="Q71" s="2292"/>
      <c r="R71" s="2292"/>
      <c r="S71" s="2292"/>
      <c r="T71" s="2292"/>
      <c r="U71" s="2292"/>
      <c r="V71" s="2292"/>
      <c r="W71" s="2292"/>
    </row>
    <row customHeight="1" ht="17.25" hidden="1">
      <c r="E72" s="2291" t="s">
        <v>271</v>
      </c>
      <c r="F72" s="2291"/>
      <c r="G72" s="2292"/>
      <c r="H72" s="2292"/>
      <c r="I72" s="2292"/>
      <c r="J72" s="2292"/>
      <c r="K72" s="2292"/>
      <c r="L72" s="2292"/>
      <c r="M72" s="2292"/>
      <c r="N72" s="2292"/>
      <c r="O72" s="2292"/>
      <c r="P72" s="2292"/>
      <c r="Q72" s="2292"/>
      <c r="R72" s="2292"/>
      <c r="S72" s="2292"/>
      <c r="T72" s="2292"/>
      <c r="U72" s="2292"/>
      <c r="V72" s="2292"/>
      <c r="W72" s="2292"/>
    </row>
    <row s="16058" customFormat="1" customHeight="1" ht="11.25" hidden="1">
      <c r="A73" s="499"/>
      <c r="B73" s="499"/>
      <c r="Y73" s="1486"/>
      <c r="Z73" s="1486"/>
      <c r="AA73" s="1486"/>
      <c r="AB73" s="1486"/>
      <c r="AC73" s="1486"/>
      <c r="AD73" s="1486"/>
      <c r="AE73" s="1486"/>
      <c r="AF73" s="1486"/>
      <c r="AG73" s="1486"/>
      <c r="AH73" s="1486"/>
      <c r="AI73" s="1486"/>
      <c r="AJ73" s="1486"/>
      <c r="AK73" s="1486"/>
      <c r="AL73" s="1486"/>
      <c r="AM73" s="1486"/>
      <c r="AN73" s="1486"/>
      <c r="AO73" s="1486"/>
      <c r="AP73" s="1486"/>
      <c r="AQ73" s="1486"/>
    </row>
    <row s="16058" customFormat="1" customHeight="1" ht="17.25" hidden="1">
      <c r="A74" s="543"/>
      <c r="C74" s="431"/>
      <c r="D74" s="2277">
        <v>1</v>
      </c>
      <c r="E74" s="2279" t="s">
        <v>272</v>
      </c>
      <c r="F74" s="2281" t="s">
        <v>53</v>
      </c>
      <c r="G74" s="2279"/>
      <c r="H74" s="2284"/>
      <c r="I74" s="2286"/>
      <c r="J74" s="2288"/>
      <c r="K74" s="2271"/>
      <c r="L74" s="2271"/>
      <c r="M74" s="2271"/>
      <c r="N74" s="2273"/>
      <c r="O74" s="2271"/>
      <c r="P74" s="2271"/>
      <c r="Q74" s="2271"/>
      <c r="R74" s="2276"/>
      <c r="S74" s="2271"/>
      <c r="T74" s="1697"/>
      <c r="U74" s="1697"/>
      <c r="V74" s="1699"/>
      <c r="W74" s="1523"/>
      <c r="Y74" s="1494"/>
      <c r="Z74" s="1494"/>
      <c r="AA74" s="1494"/>
      <c r="AB74" s="1494"/>
      <c r="AC74" s="1494" t="s">
        <v>273</v>
      </c>
      <c r="AD74" s="1494" t="s">
        <v>274</v>
      </c>
      <c r="AE74" s="1494" t="s">
        <v>275</v>
      </c>
      <c r="AF74" s="1494" t="s">
        <v>276</v>
      </c>
      <c r="AG74" s="1494"/>
      <c r="AH74" s="1494" t="str">
        <f>IF($E$74=0,"",$E$74)</f>
        <v>Тариф на питьевую воду (питьевое водоснабжение)</v>
      </c>
      <c r="AI74" s="1494" t="str">
        <f>IF($G$74=0,"",$G$74)</f>
        <v/>
      </c>
      <c r="AJ74" s="1494" t="str">
        <f>IF($J$74=0,"",$J$74)</f>
        <v/>
      </c>
      <c r="AK74" s="1494" t="str">
        <f>IF($K$74="нет","без дифференциации",IF($N$74=0,"",$N$74))</f>
        <v/>
      </c>
      <c r="AL74" s="1494" t="str">
        <f>IF($O$74="нет","без дифференциации",IF($R$74=0,"",$R$74))</f>
        <v/>
      </c>
      <c r="AM74" s="1494" t="str">
        <f>IF($S$74="нет","без дифференциации",IF($V$74=0,"",$V$74))</f>
        <v/>
      </c>
      <c r="AN74" s="1494">
        <f>$I$74</f>
        <v>0</v>
      </c>
      <c r="AO74" s="1494" t="str">
        <f>$I$74&amp;"."&amp;$M$74</f>
        <v>.</v>
      </c>
      <c r="AP74" s="1494" t="str">
        <f>$I$74&amp;"."&amp;$M$74&amp;"."&amp;$Q$74</f>
        <v>..</v>
      </c>
      <c r="AQ74" s="1494" t="str">
        <f>$I$74&amp;"."&amp;$M$74&amp;"."&amp;$Q$74&amp;"."&amp;$U$74</f>
        <v>...</v>
      </c>
    </row>
    <row s="16058" customFormat="1" customHeight="1" ht="17.25" hidden="1">
      <c r="A75" s="543"/>
      <c r="C75" s="542"/>
      <c r="D75" s="2277"/>
      <c r="E75" s="2279"/>
      <c r="F75" s="2282"/>
      <c r="G75" s="2279"/>
      <c r="H75" s="2285"/>
      <c r="I75" s="2287"/>
      <c r="J75" s="2289"/>
      <c r="K75" s="2272"/>
      <c r="L75" s="2272"/>
      <c r="M75" s="2272"/>
      <c r="N75" s="2274"/>
      <c r="O75" s="2272"/>
      <c r="P75" s="2272"/>
      <c r="Q75" s="2272"/>
      <c r="R75" s="2275"/>
      <c r="S75" s="2272"/>
      <c r="T75" s="1524"/>
      <c r="U75" s="1524"/>
      <c r="V75" s="1524"/>
      <c r="W75" s="1525"/>
      <c r="Y75" s="1486"/>
      <c r="Z75" s="1486"/>
      <c r="AA75" s="1486"/>
      <c r="AB75" s="1486"/>
      <c r="AC75" s="1486"/>
      <c r="AD75" s="1486"/>
      <c r="AE75" s="1486"/>
      <c r="AF75" s="1486"/>
      <c r="AG75" s="1486"/>
      <c r="AH75" s="1486"/>
      <c r="AI75" s="1486"/>
      <c r="AJ75" s="1486"/>
      <c r="AK75" s="1486"/>
      <c r="AL75" s="1486"/>
      <c r="AM75" s="1486"/>
      <c r="AN75" s="1486"/>
      <c r="AO75" s="1486"/>
      <c r="AP75" s="1486"/>
      <c r="AQ75" s="1486"/>
    </row>
    <row s="16060" customFormat="1" customHeight="1" ht="17.25" hidden="1">
      <c r="A76" s="543"/>
      <c r="C76" s="431"/>
      <c r="D76" s="2277"/>
      <c r="E76" s="2279"/>
      <c r="F76" s="2282"/>
      <c r="G76" s="2279"/>
      <c r="H76" s="2285"/>
      <c r="I76" s="2287"/>
      <c r="J76" s="2290"/>
      <c r="K76" s="2272"/>
      <c r="L76" s="2272"/>
      <c r="M76" s="2272"/>
      <c r="N76" s="2275"/>
      <c r="O76" s="2272"/>
      <c r="P76" s="1698"/>
      <c r="Q76" s="1524"/>
      <c r="R76" s="1524"/>
      <c r="S76" s="551"/>
      <c r="T76" s="551"/>
      <c r="U76" s="551"/>
      <c r="V76" s="551"/>
      <c r="W76" s="1525"/>
      <c r="Y76" s="1494"/>
      <c r="Z76" s="1494"/>
      <c r="AA76" s="1494"/>
      <c r="AB76" s="1494"/>
      <c r="AC76" s="1494"/>
      <c r="AD76" s="1494"/>
      <c r="AE76" s="1494"/>
      <c r="AF76" s="1494"/>
      <c r="AG76" s="1494"/>
      <c r="AH76" s="1494"/>
      <c r="AI76" s="1494"/>
      <c r="AJ76" s="1494"/>
      <c r="AK76" s="1494"/>
      <c r="AL76" s="1494"/>
      <c r="AM76" s="1494"/>
      <c r="AN76" s="1494"/>
      <c r="AO76" s="1494"/>
      <c r="AP76" s="1494"/>
      <c r="AQ76" s="1494"/>
    </row>
    <row s="16060" customFormat="1" customHeight="1" ht="17.25" hidden="1">
      <c r="A77" s="543"/>
      <c r="C77" s="542"/>
      <c r="D77" s="2277"/>
      <c r="E77" s="2279"/>
      <c r="F77" s="2282"/>
      <c r="G77" s="2279"/>
      <c r="H77" s="2285"/>
      <c r="I77" s="2287"/>
      <c r="J77" s="2290"/>
      <c r="K77" s="2272"/>
      <c r="L77" s="1524"/>
      <c r="M77" s="1524"/>
      <c r="N77" s="1524"/>
      <c r="O77" s="1524"/>
      <c r="P77" s="1524"/>
      <c r="Q77" s="1524"/>
      <c r="R77" s="1524"/>
      <c r="S77" s="551"/>
      <c r="T77" s="551"/>
      <c r="U77" s="551"/>
      <c r="V77" s="551"/>
      <c r="W77" s="1525"/>
      <c r="Y77" s="1486"/>
      <c r="Z77" s="1486"/>
      <c r="AA77" s="1486"/>
      <c r="AB77" s="1486"/>
      <c r="AC77" s="1486"/>
      <c r="AD77" s="1486"/>
      <c r="AE77" s="1486"/>
      <c r="AF77" s="1486"/>
      <c r="AG77" s="1486"/>
      <c r="AH77" s="1486"/>
      <c r="AI77" s="1486"/>
      <c r="AJ77" s="1486"/>
      <c r="AK77" s="1486"/>
      <c r="AL77" s="1486"/>
      <c r="AM77" s="1486"/>
      <c r="AN77" s="1486"/>
      <c r="AO77" s="1486"/>
      <c r="AP77" s="1486"/>
      <c r="AQ77" s="1486"/>
    </row>
    <row s="16058" customFormat="1" customHeight="1" ht="17.25" hidden="1">
      <c r="A78" s="543"/>
      <c r="C78" s="542"/>
      <c r="D78" s="2278"/>
      <c r="E78" s="2280"/>
      <c r="F78" s="2283"/>
      <c r="G78" s="2280"/>
      <c r="H78" s="1526"/>
      <c r="I78" s="1527"/>
      <c r="J78" s="1527"/>
      <c r="K78" s="1527"/>
      <c r="L78" s="1527"/>
      <c r="M78" s="1527"/>
      <c r="N78" s="1527"/>
      <c r="O78" s="1527"/>
      <c r="P78" s="1527"/>
      <c r="Q78" s="1527"/>
      <c r="R78" s="1527"/>
      <c r="S78" s="1528"/>
      <c r="T78" s="1528"/>
      <c r="U78" s="1528"/>
      <c r="V78" s="1528"/>
      <c r="W78" s="1529"/>
      <c r="Y78" s="1486"/>
      <c r="Z78" s="1486"/>
      <c r="AA78" s="1486"/>
      <c r="AB78" s="1486"/>
      <c r="AC78" s="1486"/>
      <c r="AD78" s="1486"/>
      <c r="AE78" s="1486"/>
      <c r="AF78" s="1486"/>
      <c r="AG78" s="1486"/>
      <c r="AH78" s="1486"/>
      <c r="AI78" s="1486"/>
      <c r="AJ78" s="1486"/>
      <c r="AK78" s="1486"/>
      <c r="AL78" s="1486"/>
      <c r="AM78" s="1486"/>
      <c r="AN78" s="1486"/>
      <c r="AO78" s="1486"/>
      <c r="AP78" s="1486"/>
      <c r="AQ78" s="1486"/>
    </row>
    <row s="16058" customFormat="1" customHeight="1" ht="17.25" hidden="1">
      <c r="A79" s="543"/>
      <c r="C79" s="431"/>
      <c r="D79" s="2277">
        <v>2</v>
      </c>
      <c r="E79" s="2279" t="s">
        <v>277</v>
      </c>
      <c r="F79" s="2281" t="s">
        <v>53</v>
      </c>
      <c r="G79" s="2279"/>
      <c r="H79" s="2284"/>
      <c r="I79" s="2286"/>
      <c r="J79" s="2288"/>
      <c r="K79" s="2271"/>
      <c r="L79" s="2271"/>
      <c r="M79" s="2271"/>
      <c r="N79" s="2273"/>
      <c r="O79" s="2271"/>
      <c r="P79" s="2271"/>
      <c r="Q79" s="2271"/>
      <c r="R79" s="2276"/>
      <c r="S79" s="2271"/>
      <c r="T79" s="1670"/>
      <c r="U79" s="1670"/>
      <c r="V79" s="1672"/>
      <c r="W79" s="1523"/>
      <c r="X79" s="1494"/>
      <c r="Y79" s="1494"/>
      <c r="Z79" s="1494"/>
      <c r="AA79" s="1494"/>
      <c r="AB79" s="1494"/>
      <c r="AC79" s="1494" t="s">
        <v>278</v>
      </c>
      <c r="AD79" s="1494" t="s">
        <v>279</v>
      </c>
      <c r="AE79" s="1494" t="s">
        <v>280</v>
      </c>
      <c r="AF79" s="1494" t="s">
        <v>281</v>
      </c>
      <c r="AG79" s="1494"/>
      <c r="AH79" s="1494" t="str">
        <f>IF($E$79=0,"",$E$79)</f>
        <v>Тариф на техническую воду</v>
      </c>
      <c r="AI79" s="1494" t="str">
        <f>IF($G$79=0,"",$G$79)</f>
        <v/>
      </c>
      <c r="AJ79" s="1494" t="str">
        <f>IF($J$79=0,"",$J$79)</f>
        <v/>
      </c>
      <c r="AK79" s="1494" t="str">
        <f>IF($K$79="нет","без дифференциации",IF($N$79=0,"",$N$79))</f>
        <v/>
      </c>
      <c r="AL79" s="1494" t="str">
        <f>IF($O$79="нет","без дифференциации",IF($R$79=0,"",$R$79))</f>
        <v/>
      </c>
      <c r="AM79" s="1494" t="str">
        <f>IF($S$79="нет","без дифференциации",IF($V$79=0,"",$V$79))</f>
        <v/>
      </c>
      <c r="AN79" s="1999">
        <f>$I$79</f>
        <v>0</v>
      </c>
      <c r="AO79" s="1494" t="str">
        <f>$I$79&amp;"."&amp;$M$79</f>
        <v>.</v>
      </c>
      <c r="AP79" s="1486" t="str">
        <f>$I$79&amp;"."&amp;$M$79&amp;"."&amp;$Q$79</f>
        <v>..</v>
      </c>
      <c r="AQ79" s="1486" t="str">
        <f>$I$79&amp;"."&amp;$M$79&amp;"."&amp;$Q$79&amp;"."&amp;$U$79</f>
        <v>...</v>
      </c>
    </row>
    <row s="16058" customFormat="1" customHeight="1" ht="17.25" hidden="1">
      <c r="A80" s="543"/>
      <c r="C80" s="542"/>
      <c r="D80" s="2277"/>
      <c r="E80" s="2279"/>
      <c r="F80" s="2282"/>
      <c r="G80" s="2279"/>
      <c r="H80" s="2285"/>
      <c r="I80" s="2287"/>
      <c r="J80" s="2289"/>
      <c r="K80" s="2272"/>
      <c r="L80" s="2272"/>
      <c r="M80" s="2272"/>
      <c r="N80" s="2274"/>
      <c r="O80" s="2272"/>
      <c r="P80" s="2272"/>
      <c r="Q80" s="2272"/>
      <c r="R80" s="2275"/>
      <c r="S80" s="2272"/>
      <c r="T80" s="1524"/>
      <c r="U80" s="1524"/>
      <c r="V80" s="1524"/>
      <c r="W80" s="1525"/>
      <c r="X80" s="1486"/>
      <c r="Y80" s="1486"/>
      <c r="Z80" s="1486"/>
      <c r="AA80" s="1486"/>
      <c r="AB80" s="1486"/>
      <c r="AC80" s="1486"/>
      <c r="AD80" s="1486"/>
      <c r="AE80" s="1486"/>
      <c r="AF80" s="1486"/>
      <c r="AG80" s="1486"/>
      <c r="AH80" s="1486"/>
      <c r="AI80" s="1486"/>
      <c r="AJ80" s="1486"/>
      <c r="AK80" s="1486"/>
      <c r="AL80" s="1486"/>
      <c r="AM80" s="1486"/>
      <c r="AN80" s="1486"/>
      <c r="AO80" s="1486"/>
      <c r="AP80" s="1486"/>
      <c r="AQ80" s="1486"/>
    </row>
    <row s="16058" customFormat="1" customHeight="1" ht="17.25" hidden="1">
      <c r="A81" s="543"/>
      <c r="C81" s="542"/>
      <c r="D81" s="2278"/>
      <c r="E81" s="2280"/>
      <c r="F81" s="2282"/>
      <c r="G81" s="2280"/>
      <c r="H81" s="2285"/>
      <c r="I81" s="2287"/>
      <c r="J81" s="2290"/>
      <c r="K81" s="2272"/>
      <c r="L81" s="2272"/>
      <c r="M81" s="2272"/>
      <c r="N81" s="2275"/>
      <c r="O81" s="2272"/>
      <c r="P81" s="1671"/>
      <c r="Q81" s="1524"/>
      <c r="R81" s="1524"/>
      <c r="S81" s="551"/>
      <c r="T81" s="551"/>
      <c r="U81" s="551"/>
      <c r="V81" s="551"/>
      <c r="W81" s="1525"/>
      <c r="X81" s="1486"/>
      <c r="Y81" s="1486"/>
      <c r="Z81" s="1486"/>
      <c r="AA81" s="1486"/>
      <c r="AB81" s="1486"/>
      <c r="AC81" s="1486"/>
      <c r="AD81" s="1486"/>
      <c r="AE81" s="1486"/>
      <c r="AF81" s="1486"/>
      <c r="AG81" s="1486"/>
      <c r="AH81" s="1486"/>
      <c r="AI81" s="1486"/>
      <c r="AJ81" s="1486"/>
      <c r="AK81" s="1486"/>
      <c r="AL81" s="1486"/>
      <c r="AM81" s="1486"/>
      <c r="AN81" s="1486"/>
      <c r="AO81" s="1486"/>
      <c r="AP81" s="1486"/>
      <c r="AQ81" s="1486"/>
    </row>
    <row s="16058" customFormat="1" customHeight="1" ht="17.25" hidden="1">
      <c r="A82" s="543"/>
      <c r="C82" s="542"/>
      <c r="D82" s="2278"/>
      <c r="E82" s="2280"/>
      <c r="F82" s="2282"/>
      <c r="G82" s="2280"/>
      <c r="H82" s="2285"/>
      <c r="I82" s="2287"/>
      <c r="J82" s="2290"/>
      <c r="K82" s="2272"/>
      <c r="L82" s="1524"/>
      <c r="M82" s="1524"/>
      <c r="N82" s="1524"/>
      <c r="O82" s="1524"/>
      <c r="P82" s="1524"/>
      <c r="Q82" s="1524"/>
      <c r="R82" s="1524"/>
      <c r="S82" s="551"/>
      <c r="T82" s="551"/>
      <c r="U82" s="551"/>
      <c r="V82" s="551"/>
      <c r="W82" s="1525"/>
      <c r="X82" s="1486"/>
      <c r="Y82" s="1486"/>
      <c r="Z82" s="1486"/>
      <c r="AA82" s="1486"/>
      <c r="AB82" s="1486"/>
      <c r="AC82" s="1486"/>
      <c r="AD82" s="1486"/>
      <c r="AE82" s="1486"/>
      <c r="AF82" s="1486"/>
      <c r="AG82" s="1486"/>
      <c r="AH82" s="1486"/>
      <c r="AI82" s="1486"/>
      <c r="AJ82" s="1486"/>
      <c r="AK82" s="1486"/>
      <c r="AL82" s="1486"/>
      <c r="AM82" s="1486"/>
      <c r="AN82" s="1486"/>
      <c r="AO82" s="1486"/>
      <c r="AP82" s="1486"/>
      <c r="AQ82" s="1486"/>
    </row>
    <row s="16058" customFormat="1" customHeight="1" ht="17.25" hidden="1">
      <c r="A83" s="543"/>
      <c r="C83" s="542"/>
      <c r="D83" s="2278"/>
      <c r="E83" s="2280"/>
      <c r="F83" s="2283"/>
      <c r="G83" s="2280"/>
      <c r="H83" s="1526"/>
      <c r="I83" s="1527"/>
      <c r="J83" s="1527"/>
      <c r="K83" s="1527"/>
      <c r="L83" s="1527"/>
      <c r="M83" s="1527"/>
      <c r="N83" s="1527"/>
      <c r="O83" s="1527"/>
      <c r="P83" s="1527"/>
      <c r="Q83" s="1527"/>
      <c r="R83" s="1527"/>
      <c r="S83" s="1528"/>
      <c r="T83" s="1528"/>
      <c r="U83" s="1528"/>
      <c r="V83" s="1528"/>
      <c r="W83" s="1529"/>
      <c r="X83" s="1486"/>
      <c r="Y83" s="1486"/>
      <c r="Z83" s="1486"/>
      <c r="AA83" s="1486"/>
      <c r="AB83" s="1486"/>
      <c r="AC83" s="1486"/>
      <c r="AD83" s="1486"/>
      <c r="AE83" s="1486"/>
      <c r="AF83" s="1486"/>
      <c r="AG83" s="1486"/>
      <c r="AH83" s="1486"/>
      <c r="AI83" s="1486"/>
      <c r="AJ83" s="1486"/>
      <c r="AK83" s="1486"/>
      <c r="AL83" s="1486"/>
      <c r="AM83" s="1486"/>
      <c r="AN83" s="1486"/>
      <c r="AO83" s="1486"/>
      <c r="AP83" s="1486"/>
      <c r="AQ83" s="1486"/>
    </row>
    <row s="16058" customFormat="1" customHeight="1" ht="17.25" hidden="1">
      <c r="A84" s="543"/>
      <c r="C84" s="431"/>
      <c r="D84" s="2277">
        <v>3</v>
      </c>
      <c r="E84" s="2279" t="s">
        <v>282</v>
      </c>
      <c r="F84" s="2281" t="s">
        <v>53</v>
      </c>
      <c r="G84" s="2279"/>
      <c r="H84" s="2284"/>
      <c r="I84" s="2286"/>
      <c r="J84" s="2288"/>
      <c r="K84" s="2271"/>
      <c r="L84" s="2271"/>
      <c r="M84" s="2271"/>
      <c r="N84" s="2273"/>
      <c r="O84" s="2271"/>
      <c r="P84" s="2271"/>
      <c r="Q84" s="2271"/>
      <c r="R84" s="2276"/>
      <c r="S84" s="2271"/>
      <c r="T84" s="1670"/>
      <c r="U84" s="1670"/>
      <c r="V84" s="1672"/>
      <c r="W84" s="1523"/>
      <c r="X84" s="1494"/>
      <c r="Y84" s="1494"/>
      <c r="Z84" s="1494"/>
      <c r="AA84" s="1494"/>
      <c r="AB84" s="1494"/>
      <c r="AC84" s="1494" t="s">
        <v>283</v>
      </c>
      <c r="AD84" s="1494" t="s">
        <v>284</v>
      </c>
      <c r="AE84" s="1494" t="s">
        <v>285</v>
      </c>
      <c r="AF84" s="1494" t="s">
        <v>286</v>
      </c>
      <c r="AG84" s="1494"/>
      <c r="AH84" s="1494" t="str">
        <f>IF($E$84=0,"",$E$84)</f>
        <v>Тариф на транспортировку воды</v>
      </c>
      <c r="AI84" s="1494" t="str">
        <f>IF($G$84=0,"",$G$84)</f>
        <v/>
      </c>
      <c r="AJ84" s="1494" t="str">
        <f>IF($J$84=0,"",$J$84)</f>
        <v/>
      </c>
      <c r="AK84" s="1494" t="str">
        <f>IF($K$84="нет","без дифференциации",IF($N$84=0,"",$N$84))</f>
        <v/>
      </c>
      <c r="AL84" s="1494" t="str">
        <f>IF($O$84="нет","без дифференциации",IF($R$84=0,"",$R$84))</f>
        <v/>
      </c>
      <c r="AM84" s="1494" t="str">
        <f>IF($S$84="нет","без дифференциации",IF($V$84=0,"",$V$84))</f>
        <v/>
      </c>
      <c r="AN84" s="1999">
        <f>$I$84</f>
        <v>0</v>
      </c>
      <c r="AO84" s="1494" t="str">
        <f>$I$84&amp;"."&amp;$M$84</f>
        <v>.</v>
      </c>
      <c r="AP84" s="1486" t="str">
        <f>$I$84&amp;"."&amp;$M$84&amp;"."&amp;$Q$84</f>
        <v>..</v>
      </c>
      <c r="AQ84" s="1486" t="str">
        <f>$I$84&amp;"."&amp;$M$84&amp;"."&amp;$Q$84&amp;"."&amp;$U$84</f>
        <v>...</v>
      </c>
    </row>
    <row s="16058" customFormat="1" customHeight="1" ht="17.25" hidden="1">
      <c r="A85" s="543"/>
      <c r="C85" s="542"/>
      <c r="D85" s="2277"/>
      <c r="E85" s="2279"/>
      <c r="F85" s="2282"/>
      <c r="G85" s="2279"/>
      <c r="H85" s="2285"/>
      <c r="I85" s="2287"/>
      <c r="J85" s="2289"/>
      <c r="K85" s="2272"/>
      <c r="L85" s="2272"/>
      <c r="M85" s="2272"/>
      <c r="N85" s="2274"/>
      <c r="O85" s="2272"/>
      <c r="P85" s="2272"/>
      <c r="Q85" s="2272"/>
      <c r="R85" s="2275"/>
      <c r="S85" s="2272"/>
      <c r="T85" s="1524"/>
      <c r="U85" s="1524"/>
      <c r="V85" s="1524"/>
      <c r="W85" s="1525"/>
      <c r="X85" s="1486"/>
      <c r="Y85" s="1486"/>
      <c r="Z85" s="1486"/>
      <c r="AA85" s="1486"/>
      <c r="AB85" s="1486"/>
      <c r="AC85" s="1486"/>
      <c r="AD85" s="1486"/>
      <c r="AE85" s="1486"/>
      <c r="AF85" s="1486"/>
      <c r="AG85" s="1486"/>
      <c r="AH85" s="1486"/>
      <c r="AI85" s="1486"/>
      <c r="AJ85" s="1486"/>
      <c r="AK85" s="1486"/>
      <c r="AL85" s="1486"/>
      <c r="AM85" s="1486"/>
      <c r="AN85" s="1486"/>
      <c r="AO85" s="1486"/>
      <c r="AP85" s="1486"/>
      <c r="AQ85" s="1486"/>
    </row>
    <row s="16058" customFormat="1" customHeight="1" ht="17.25" hidden="1">
      <c r="A86" s="543"/>
      <c r="C86" s="542"/>
      <c r="D86" s="2278"/>
      <c r="E86" s="2280"/>
      <c r="F86" s="2282"/>
      <c r="G86" s="2280"/>
      <c r="H86" s="2285"/>
      <c r="I86" s="2287"/>
      <c r="J86" s="2290"/>
      <c r="K86" s="2272"/>
      <c r="L86" s="2272"/>
      <c r="M86" s="2272"/>
      <c r="N86" s="2275"/>
      <c r="O86" s="2272"/>
      <c r="P86" s="1671"/>
      <c r="Q86" s="1524"/>
      <c r="R86" s="1524"/>
      <c r="S86" s="551"/>
      <c r="T86" s="551"/>
      <c r="U86" s="551"/>
      <c r="V86" s="551"/>
      <c r="W86" s="1525"/>
      <c r="X86" s="1486"/>
      <c r="Y86" s="1486"/>
      <c r="Z86" s="1486"/>
      <c r="AA86" s="1486"/>
      <c r="AB86" s="1486"/>
      <c r="AC86" s="1486"/>
      <c r="AD86" s="1486"/>
      <c r="AE86" s="1486"/>
      <c r="AF86" s="1486"/>
      <c r="AG86" s="1486"/>
      <c r="AH86" s="1486"/>
      <c r="AI86" s="1486"/>
      <c r="AJ86" s="1486"/>
      <c r="AK86" s="1486"/>
      <c r="AL86" s="1486"/>
      <c r="AM86" s="1486"/>
      <c r="AN86" s="1486"/>
      <c r="AO86" s="1486"/>
      <c r="AP86" s="1486"/>
      <c r="AQ86" s="1486"/>
    </row>
    <row s="16058" customFormat="1" customHeight="1" ht="17.25" hidden="1">
      <c r="A87" s="543"/>
      <c r="C87" s="542"/>
      <c r="D87" s="2278"/>
      <c r="E87" s="2280"/>
      <c r="F87" s="2282"/>
      <c r="G87" s="2280"/>
      <c r="H87" s="2285"/>
      <c r="I87" s="2287"/>
      <c r="J87" s="2290"/>
      <c r="K87" s="2272"/>
      <c r="L87" s="1524"/>
      <c r="M87" s="1524"/>
      <c r="N87" s="1524"/>
      <c r="O87" s="1524"/>
      <c r="P87" s="1524"/>
      <c r="Q87" s="1524"/>
      <c r="R87" s="1524"/>
      <c r="S87" s="551"/>
      <c r="T87" s="551"/>
      <c r="U87" s="551"/>
      <c r="V87" s="551"/>
      <c r="W87" s="1525"/>
      <c r="X87" s="1486"/>
      <c r="Y87" s="1486"/>
      <c r="Z87" s="1486"/>
      <c r="AA87" s="1486"/>
      <c r="AB87" s="1486"/>
      <c r="AC87" s="1486"/>
      <c r="AD87" s="1486"/>
      <c r="AE87" s="1486"/>
      <c r="AF87" s="1486"/>
      <c r="AG87" s="1486"/>
      <c r="AH87" s="1486"/>
      <c r="AI87" s="1486"/>
      <c r="AJ87" s="1486"/>
      <c r="AK87" s="1486"/>
      <c r="AL87" s="1486"/>
      <c r="AM87" s="1486"/>
      <c r="AN87" s="1486"/>
      <c r="AO87" s="1486"/>
      <c r="AP87" s="1486"/>
      <c r="AQ87" s="1486"/>
    </row>
    <row s="16058" customFormat="1" customHeight="1" ht="17.25" hidden="1">
      <c r="A88" s="543"/>
      <c r="C88" s="542"/>
      <c r="D88" s="2278"/>
      <c r="E88" s="2280"/>
      <c r="F88" s="2283"/>
      <c r="G88" s="2280"/>
      <c r="H88" s="1526"/>
      <c r="I88" s="1527"/>
      <c r="J88" s="1527"/>
      <c r="K88" s="1527"/>
      <c r="L88" s="1527"/>
      <c r="M88" s="1527"/>
      <c r="N88" s="1527"/>
      <c r="O88" s="1527"/>
      <c r="P88" s="1527"/>
      <c r="Q88" s="1527"/>
      <c r="R88" s="1527"/>
      <c r="S88" s="1528"/>
      <c r="T88" s="1528"/>
      <c r="U88" s="1528"/>
      <c r="V88" s="1528"/>
      <c r="W88" s="1529"/>
      <c r="X88" s="1486"/>
      <c r="Y88" s="1486"/>
      <c r="Z88" s="1486"/>
      <c r="AA88" s="1486"/>
      <c r="AB88" s="1486"/>
      <c r="AC88" s="1486"/>
      <c r="AD88" s="1486"/>
      <c r="AE88" s="1486"/>
      <c r="AF88" s="1486"/>
      <c r="AG88" s="1486"/>
      <c r="AH88" s="1486"/>
      <c r="AI88" s="1486"/>
      <c r="AJ88" s="1486"/>
      <c r="AK88" s="1486"/>
      <c r="AL88" s="1486"/>
      <c r="AM88" s="1486"/>
      <c r="AN88" s="1486"/>
      <c r="AO88" s="1486"/>
      <c r="AP88" s="1486"/>
      <c r="AQ88" s="1486"/>
    </row>
    <row s="16058" customFormat="1" customHeight="1" ht="17.25" hidden="1">
      <c r="A89" s="543"/>
      <c r="C89" s="431"/>
      <c r="D89" s="2277">
        <v>4</v>
      </c>
      <c r="E89" s="2279" t="s">
        <v>287</v>
      </c>
      <c r="F89" s="2281" t="s">
        <v>53</v>
      </c>
      <c r="G89" s="2279"/>
      <c r="H89" s="2284"/>
      <c r="I89" s="2286"/>
      <c r="J89" s="2288"/>
      <c r="K89" s="2271"/>
      <c r="L89" s="2271"/>
      <c r="M89" s="2271"/>
      <c r="N89" s="2273"/>
      <c r="O89" s="2271"/>
      <c r="P89" s="2271"/>
      <c r="Q89" s="2271"/>
      <c r="R89" s="2276"/>
      <c r="S89" s="2271"/>
      <c r="T89" s="1670"/>
      <c r="U89" s="1670"/>
      <c r="V89" s="1672"/>
      <c r="W89" s="1523"/>
      <c r="X89" s="1494"/>
      <c r="Y89" s="1494"/>
      <c r="Z89" s="1494"/>
      <c r="AA89" s="1494"/>
      <c r="AB89" s="1494"/>
      <c r="AC89" s="1494" t="s">
        <v>288</v>
      </c>
      <c r="AD89" s="1494" t="s">
        <v>289</v>
      </c>
      <c r="AE89" s="1494" t="s">
        <v>290</v>
      </c>
      <c r="AF89" s="1494" t="s">
        <v>291</v>
      </c>
      <c r="AG89" s="1494"/>
      <c r="AH89" s="1494" t="str">
        <f>IF($E$89=0,"",$E$89)</f>
        <v>Тариф на подвоз воды</v>
      </c>
      <c r="AI89" s="1494" t="str">
        <f>IF($G$89=0,"",$G$89)</f>
        <v/>
      </c>
      <c r="AJ89" s="1494" t="str">
        <f>IF($J$89=0,"",$J$89)</f>
        <v/>
      </c>
      <c r="AK89" s="1494" t="str">
        <f>IF($K$89="нет","без дифференциации",IF($N$89=0,"",$N$89))</f>
        <v/>
      </c>
      <c r="AL89" s="1494" t="str">
        <f>IF($O$89="нет","без дифференциации",IF($R$89=0,"",$R$89))</f>
        <v/>
      </c>
      <c r="AM89" s="1494" t="str">
        <f>IF($S$89="нет","без дифференциации",IF($V$89=0,"",$V$89))</f>
        <v/>
      </c>
      <c r="AN89" s="1999">
        <f>$I$89</f>
        <v>0</v>
      </c>
      <c r="AO89" s="1494" t="str">
        <f>$I$89&amp;"."&amp;$M$89</f>
        <v>.</v>
      </c>
      <c r="AP89" s="1486" t="str">
        <f>$I$89&amp;"."&amp;$M$89&amp;"."&amp;$Q$89</f>
        <v>..</v>
      </c>
      <c r="AQ89" s="1486" t="str">
        <f>$I$89&amp;"."&amp;$M$89&amp;"."&amp;$Q$89&amp;"."&amp;$U$89</f>
        <v>...</v>
      </c>
    </row>
    <row s="16058" customFormat="1" customHeight="1" ht="17.25" hidden="1">
      <c r="A90" s="543"/>
      <c r="C90" s="542"/>
      <c r="D90" s="2277"/>
      <c r="E90" s="2279"/>
      <c r="F90" s="2282"/>
      <c r="G90" s="2279"/>
      <c r="H90" s="2285"/>
      <c r="I90" s="2287"/>
      <c r="J90" s="2289"/>
      <c r="K90" s="2272"/>
      <c r="L90" s="2272"/>
      <c r="M90" s="2272"/>
      <c r="N90" s="2274"/>
      <c r="O90" s="2272"/>
      <c r="P90" s="2272"/>
      <c r="Q90" s="2272"/>
      <c r="R90" s="2275"/>
      <c r="S90" s="2272"/>
      <c r="T90" s="1524"/>
      <c r="U90" s="1524"/>
      <c r="V90" s="1524"/>
      <c r="W90" s="1525"/>
      <c r="X90" s="1486"/>
      <c r="Y90" s="1486"/>
      <c r="Z90" s="1486"/>
      <c r="AA90" s="1486"/>
      <c r="AB90" s="1486"/>
      <c r="AC90" s="1486"/>
      <c r="AD90" s="1486"/>
      <c r="AE90" s="1486"/>
      <c r="AF90" s="1486"/>
      <c r="AG90" s="1486"/>
      <c r="AH90" s="1486"/>
      <c r="AI90" s="1486"/>
      <c r="AJ90" s="1486"/>
      <c r="AK90" s="1486"/>
      <c r="AL90" s="1486"/>
      <c r="AM90" s="1486"/>
      <c r="AN90" s="1486"/>
      <c r="AO90" s="1486"/>
      <c r="AP90" s="1486"/>
      <c r="AQ90" s="1486"/>
    </row>
    <row s="16058" customFormat="1" customHeight="1" ht="17.25" hidden="1">
      <c r="A91" s="543"/>
      <c r="C91" s="542"/>
      <c r="D91" s="2278"/>
      <c r="E91" s="2280"/>
      <c r="F91" s="2282"/>
      <c r="G91" s="2280"/>
      <c r="H91" s="2285"/>
      <c r="I91" s="2287"/>
      <c r="J91" s="2290"/>
      <c r="K91" s="2272"/>
      <c r="L91" s="2272"/>
      <c r="M91" s="2272"/>
      <c r="N91" s="2275"/>
      <c r="O91" s="2272"/>
      <c r="P91" s="1671"/>
      <c r="Q91" s="1524"/>
      <c r="R91" s="1524"/>
      <c r="S91" s="551"/>
      <c r="T91" s="551"/>
      <c r="U91" s="551"/>
      <c r="V91" s="551"/>
      <c r="W91" s="1525"/>
      <c r="X91" s="1486"/>
      <c r="Y91" s="1486"/>
      <c r="Z91" s="1486"/>
      <c r="AA91" s="1486"/>
      <c r="AB91" s="1486"/>
      <c r="AC91" s="1486"/>
      <c r="AD91" s="1486"/>
      <c r="AE91" s="1486"/>
      <c r="AF91" s="1486"/>
      <c r="AG91" s="1486"/>
      <c r="AH91" s="1486"/>
      <c r="AI91" s="1486"/>
      <c r="AJ91" s="1486"/>
      <c r="AK91" s="1486"/>
      <c r="AL91" s="1486"/>
      <c r="AM91" s="1486"/>
      <c r="AN91" s="1486"/>
      <c r="AO91" s="1486"/>
      <c r="AP91" s="1486"/>
      <c r="AQ91" s="1486"/>
    </row>
    <row s="16058" customFormat="1" customHeight="1" ht="17.25" hidden="1">
      <c r="A92" s="543"/>
      <c r="C92" s="542"/>
      <c r="D92" s="2278"/>
      <c r="E92" s="2280"/>
      <c r="F92" s="2282"/>
      <c r="G92" s="2280"/>
      <c r="H92" s="2285"/>
      <c r="I92" s="2287"/>
      <c r="J92" s="2290"/>
      <c r="K92" s="2272"/>
      <c r="L92" s="1524"/>
      <c r="M92" s="1524"/>
      <c r="N92" s="1524"/>
      <c r="O92" s="1524"/>
      <c r="P92" s="1524"/>
      <c r="Q92" s="1524"/>
      <c r="R92" s="1524"/>
      <c r="S92" s="551"/>
      <c r="T92" s="551"/>
      <c r="U92" s="551"/>
      <c r="V92" s="551"/>
      <c r="W92" s="1525"/>
      <c r="X92" s="1486"/>
      <c r="Y92" s="1486"/>
      <c r="Z92" s="1486"/>
      <c r="AA92" s="1486"/>
      <c r="AB92" s="1486"/>
      <c r="AC92" s="1486"/>
      <c r="AD92" s="1486"/>
      <c r="AE92" s="1486"/>
      <c r="AF92" s="1486"/>
      <c r="AG92" s="1486"/>
      <c r="AH92" s="1486"/>
      <c r="AI92" s="1486"/>
      <c r="AJ92" s="1486"/>
      <c r="AK92" s="1486"/>
      <c r="AL92" s="1486"/>
      <c r="AM92" s="1486"/>
      <c r="AN92" s="1486"/>
      <c r="AO92" s="1486"/>
      <c r="AP92" s="1486"/>
      <c r="AQ92" s="1486"/>
    </row>
    <row s="16058" customFormat="1" customHeight="1" ht="17.25" hidden="1">
      <c r="A93" s="543"/>
      <c r="C93" s="542"/>
      <c r="D93" s="2278"/>
      <c r="E93" s="2280"/>
      <c r="F93" s="2283"/>
      <c r="G93" s="2280"/>
      <c r="H93" s="1526"/>
      <c r="I93" s="1527"/>
      <c r="J93" s="1527"/>
      <c r="K93" s="1527"/>
      <c r="L93" s="1527"/>
      <c r="M93" s="1527"/>
      <c r="N93" s="1527"/>
      <c r="O93" s="1527"/>
      <c r="P93" s="1527"/>
      <c r="Q93" s="1527"/>
      <c r="R93" s="1527"/>
      <c r="S93" s="1528"/>
      <c r="T93" s="1528"/>
      <c r="U93" s="1528"/>
      <c r="V93" s="1528"/>
      <c r="W93" s="1529"/>
      <c r="X93" s="1486"/>
      <c r="Y93" s="1486"/>
      <c r="Z93" s="1486"/>
      <c r="AA93" s="1486"/>
      <c r="AB93" s="1486"/>
      <c r="AC93" s="1486"/>
      <c r="AD93" s="1486"/>
      <c r="AE93" s="1486"/>
      <c r="AF93" s="1486"/>
      <c r="AG93" s="1486"/>
      <c r="AH93" s="1486"/>
      <c r="AI93" s="1486"/>
      <c r="AJ93" s="1486"/>
      <c r="AK93" s="1486"/>
      <c r="AL93" s="1486"/>
      <c r="AM93" s="1486"/>
      <c r="AN93" s="1486"/>
      <c r="AO93" s="1486"/>
      <c r="AP93" s="1486"/>
      <c r="AQ93" s="1486"/>
    </row>
    <row s="16044" customFormat="1" customHeight="1" ht="17.25" hidden="1">
      <c r="A94" s="543"/>
      <c r="C94" s="431"/>
      <c r="D94" s="2277">
        <v>5</v>
      </c>
      <c r="E94" s="2279" t="s">
        <v>292</v>
      </c>
      <c r="F94" s="2281" t="s">
        <v>53</v>
      </c>
      <c r="G94" s="2279"/>
      <c r="H94" s="2284"/>
      <c r="I94" s="2286"/>
      <c r="J94" s="2288"/>
      <c r="K94" s="2271"/>
      <c r="L94" s="2271"/>
      <c r="M94" s="2271"/>
      <c r="N94" s="2273"/>
      <c r="O94" s="2271"/>
      <c r="P94" s="2271"/>
      <c r="Q94" s="2271"/>
      <c r="R94" s="2276"/>
      <c r="S94" s="2271"/>
      <c r="T94" s="2171"/>
      <c r="U94" s="2171"/>
      <c r="V94" s="2173"/>
      <c r="W94" s="1523"/>
      <c r="X94" s="1494"/>
      <c r="Y94" s="1494"/>
      <c r="Z94" s="1494"/>
      <c r="AA94" s="1494"/>
      <c r="AB94" s="1494"/>
      <c r="AC94" s="1494" t="s">
        <v>293</v>
      </c>
      <c r="AD94" s="1494" t="s">
        <v>294</v>
      </c>
      <c r="AE94" s="1494" t="s">
        <v>295</v>
      </c>
      <c r="AF94" s="1494" t="s">
        <v>296</v>
      </c>
      <c r="AG94" s="1494"/>
      <c r="AH94" s="1494" t="str">
        <f>IF($E$94=0,"",$E$94)</f>
        <v>Тариф на подключение (технологическое присоединение) к централизованной системе холодного водоснабжения</v>
      </c>
      <c r="AI94" s="1494" t="str">
        <f>IF($G$94=0,"",$G$94)</f>
        <v/>
      </c>
      <c r="AJ94" s="1494" t="str">
        <f>IF($J$94=0,"",$J$94)</f>
        <v/>
      </c>
      <c r="AK94" s="1494" t="str">
        <f>IF($K$94="нет","без дифференциации",IF($N$94=0,"",$N$94))</f>
        <v/>
      </c>
      <c r="AL94" s="1494" t="str">
        <f>IF($O$94="нет","без дифференциации",IF($R$94=0,"",$R$94))</f>
        <v/>
      </c>
      <c r="AM94" s="1494" t="str">
        <f>IF($S$94="нет","без дифференциации",IF($V$94=0,"",$V$94))</f>
        <v/>
      </c>
      <c r="AN94" s="1999">
        <f>$I$94</f>
        <v>0</v>
      </c>
      <c r="AO94" s="1494" t="str">
        <f>$I$94&amp;"."&amp;$M$94</f>
        <v>.</v>
      </c>
      <c r="AP94" s="1493" t="str">
        <f>$I$94&amp;"."&amp;$M$94&amp;"."&amp;$Q$94</f>
        <v>..</v>
      </c>
      <c r="AQ94" s="1493" t="str">
        <f>$I$94&amp;"."&amp;$M$94&amp;"."&amp;$Q$94&amp;"."&amp;$U$94</f>
        <v>...</v>
      </c>
    </row>
    <row s="16044" customFormat="1" customHeight="1" ht="17.25" hidden="1">
      <c r="A95" s="543"/>
      <c r="C95" s="542"/>
      <c r="D95" s="2277"/>
      <c r="E95" s="2279"/>
      <c r="F95" s="2282"/>
      <c r="G95" s="2279"/>
      <c r="H95" s="2285"/>
      <c r="I95" s="2287"/>
      <c r="J95" s="2289"/>
      <c r="K95" s="2272"/>
      <c r="L95" s="2272"/>
      <c r="M95" s="2272"/>
      <c r="N95" s="2274"/>
      <c r="O95" s="2272"/>
      <c r="P95" s="2272"/>
      <c r="Q95" s="2272"/>
      <c r="R95" s="2275"/>
      <c r="S95" s="2272"/>
      <c r="T95" s="2176"/>
      <c r="U95" s="2176"/>
      <c r="V95" s="2176"/>
      <c r="W95" s="2177"/>
      <c r="X95" s="1493"/>
      <c r="Y95" s="1493"/>
      <c r="Z95" s="1493"/>
      <c r="AA95" s="1493"/>
      <c r="AB95" s="1493"/>
      <c r="AC95" s="1493"/>
      <c r="AD95" s="1493"/>
      <c r="AE95" s="1493"/>
      <c r="AF95" s="1493"/>
      <c r="AG95" s="1493"/>
      <c r="AH95" s="1493"/>
      <c r="AI95" s="1493"/>
      <c r="AJ95" s="1493"/>
      <c r="AK95" s="1493"/>
      <c r="AL95" s="1493"/>
      <c r="AM95" s="1493"/>
      <c r="AN95" s="1493"/>
      <c r="AO95" s="1493"/>
      <c r="AP95" s="1493"/>
      <c r="AQ95" s="1493"/>
    </row>
    <row s="16044" customFormat="1" customHeight="1" ht="17.25" hidden="1">
      <c r="A96" s="543"/>
      <c r="C96" s="542"/>
      <c r="D96" s="2278"/>
      <c r="E96" s="2280"/>
      <c r="F96" s="2282"/>
      <c r="G96" s="2280"/>
      <c r="H96" s="2285"/>
      <c r="I96" s="2287"/>
      <c r="J96" s="2290"/>
      <c r="K96" s="2272"/>
      <c r="L96" s="2272"/>
      <c r="M96" s="2272"/>
      <c r="N96" s="2275"/>
      <c r="O96" s="2272"/>
      <c r="P96" s="2172"/>
      <c r="Q96" s="2176"/>
      <c r="R96" s="2176"/>
      <c r="S96" s="551"/>
      <c r="T96" s="551"/>
      <c r="U96" s="551"/>
      <c r="V96" s="551"/>
      <c r="W96" s="2177"/>
      <c r="X96" s="1493"/>
      <c r="Y96" s="1493"/>
      <c r="Z96" s="1493"/>
      <c r="AA96" s="1493"/>
      <c r="AB96" s="1493"/>
      <c r="AC96" s="1493"/>
      <c r="AD96" s="1493"/>
      <c r="AE96" s="1493"/>
      <c r="AF96" s="1493"/>
      <c r="AG96" s="1493"/>
      <c r="AH96" s="1493"/>
      <c r="AI96" s="1493"/>
      <c r="AJ96" s="1493"/>
      <c r="AK96" s="1493"/>
      <c r="AL96" s="1493"/>
      <c r="AM96" s="1493"/>
      <c r="AN96" s="1493"/>
      <c r="AO96" s="1493"/>
      <c r="AP96" s="1493"/>
      <c r="AQ96" s="1493"/>
    </row>
    <row s="16044" customFormat="1" customHeight="1" ht="17.25" hidden="1">
      <c r="A97" s="543"/>
      <c r="C97" s="542"/>
      <c r="D97" s="2278"/>
      <c r="E97" s="2280"/>
      <c r="F97" s="2282"/>
      <c r="G97" s="2280"/>
      <c r="H97" s="2285"/>
      <c r="I97" s="2287"/>
      <c r="J97" s="2290"/>
      <c r="K97" s="2272"/>
      <c r="L97" s="2176"/>
      <c r="M97" s="2176"/>
      <c r="N97" s="2176"/>
      <c r="O97" s="2176"/>
      <c r="P97" s="2176"/>
      <c r="Q97" s="2176"/>
      <c r="R97" s="2176"/>
      <c r="S97" s="551"/>
      <c r="T97" s="551"/>
      <c r="U97" s="551"/>
      <c r="V97" s="551"/>
      <c r="W97" s="2177"/>
      <c r="X97" s="1493"/>
      <c r="Y97" s="1493"/>
      <c r="Z97" s="1493"/>
      <c r="AA97" s="1493"/>
      <c r="AB97" s="1493"/>
      <c r="AC97" s="1493"/>
      <c r="AD97" s="1493"/>
      <c r="AE97" s="1493"/>
      <c r="AF97" s="1493"/>
      <c r="AG97" s="1493"/>
      <c r="AH97" s="1493"/>
      <c r="AI97" s="1493"/>
      <c r="AJ97" s="1493"/>
      <c r="AK97" s="1493"/>
      <c r="AL97" s="1493"/>
      <c r="AM97" s="1493"/>
      <c r="AN97" s="1493"/>
      <c r="AO97" s="1493"/>
      <c r="AP97" s="1493"/>
      <c r="AQ97" s="1493"/>
    </row>
    <row s="16044" customFormat="1" customHeight="1" ht="17.25" hidden="1">
      <c r="A98" s="543"/>
      <c r="C98" s="542"/>
      <c r="D98" s="2278"/>
      <c r="E98" s="2280"/>
      <c r="F98" s="2283"/>
      <c r="G98" s="2280"/>
      <c r="H98" s="1526"/>
      <c r="I98" s="2174"/>
      <c r="J98" s="2174"/>
      <c r="K98" s="2174"/>
      <c r="L98" s="2174"/>
      <c r="M98" s="2174"/>
      <c r="N98" s="2174"/>
      <c r="O98" s="2174"/>
      <c r="P98" s="2174"/>
      <c r="Q98" s="2174"/>
      <c r="R98" s="2174"/>
      <c r="S98" s="1528"/>
      <c r="T98" s="1528"/>
      <c r="U98" s="1528"/>
      <c r="V98" s="1528"/>
      <c r="W98" s="2175"/>
      <c r="X98" s="1493"/>
      <c r="Y98" s="1493"/>
      <c r="Z98" s="1493"/>
      <c r="AA98" s="1493"/>
      <c r="AB98" s="1493"/>
      <c r="AC98" s="1493"/>
      <c r="AD98" s="1493"/>
      <c r="AE98" s="1493"/>
      <c r="AF98" s="1493"/>
      <c r="AG98" s="1493"/>
      <c r="AH98" s="1493"/>
      <c r="AI98" s="1493"/>
      <c r="AJ98" s="1493"/>
      <c r="AK98" s="1493"/>
      <c r="AL98" s="1493"/>
      <c r="AM98" s="1493"/>
      <c r="AN98" s="1493"/>
      <c r="AO98" s="1493"/>
      <c r="AP98" s="1493"/>
      <c r="AQ98" s="1493"/>
    </row>
    <row s="16044" customFormat="1" customHeight="1" ht="11.25" hidden="1">
      <c r="A99" s="499"/>
      <c r="B99" s="499"/>
      <c r="Y99" s="1486"/>
      <c r="Z99" s="1486"/>
      <c r="AA99" s="1486"/>
      <c r="AB99" s="1486"/>
      <c r="AC99" s="1486"/>
      <c r="AD99" s="1486"/>
      <c r="AE99" s="1486"/>
      <c r="AF99" s="1486"/>
      <c r="AG99" s="1486"/>
      <c r="AH99" s="1486"/>
      <c r="AI99" s="1486"/>
      <c r="AJ99" s="1486"/>
      <c r="AK99" s="1486"/>
      <c r="AL99" s="1486"/>
      <c r="AM99" s="1486"/>
      <c r="AN99" s="1486"/>
      <c r="AO99" s="1486"/>
      <c r="AP99" s="1486"/>
      <c r="AQ99" s="1486"/>
    </row>
    <row s="16044" customFormat="1" customHeight="1" ht="17.25">
      <c r="A100" s="543"/>
      <c r="C100" s="431"/>
      <c r="D100" s="2277">
        <v>1</v>
      </c>
      <c r="E100" s="2279" t="s">
        <v>297</v>
      </c>
      <c r="F100" s="2281" t="s">
        <v>63</v>
      </c>
      <c r="G100" s="5631" t="str">
        <f>INDEX(HOTVSNA_PT_VED_NAME,MATCH(4189706,HOTVSNA_PT_VED_ID,0))</f>
        <v>Горячее водоснабжение</v>
      </c>
      <c r="H100" s="5632"/>
      <c r="I100" s="5632">
        <v>1</v>
      </c>
      <c r="J100" s="5633" t="s">
        <v>298</v>
      </c>
      <c r="K100" s="5634" t="s">
        <v>63</v>
      </c>
      <c r="L100" s="5635"/>
      <c r="M100" s="5635" t="s">
        <v>168</v>
      </c>
      <c r="N100" s="5636" t="str">
        <f>IF(Z100="","",INDEX(TERRITORY_MR_LIST,MATCH(Z100,TERRITORY_LIST_ID,0)))</f>
        <v>Территория 1</v>
      </c>
      <c r="O100" s="5634" t="s">
        <v>63</v>
      </c>
      <c r="P100" s="5635"/>
      <c r="Q100" s="5635" t="s">
        <v>168</v>
      </c>
      <c r="R100" s="5637" t="s">
        <v>299</v>
      </c>
      <c r="S100" s="5638" t="s">
        <v>53</v>
      </c>
      <c r="T100" s="5638"/>
      <c r="U100" s="5638" t="s">
        <v>168</v>
      </c>
      <c r="V100" s="5639"/>
      <c r="W100" s="5633"/>
      <c r="Y100" s="1494"/>
      <c r="Z100" s="1494" t="s">
        <v>94</v>
      </c>
      <c r="AA100" s="1494"/>
      <c r="AB100" s="1494" t="s">
        <v>300</v>
      </c>
      <c r="AC100" s="1494" t="s">
        <v>301</v>
      </c>
      <c r="AD100" s="1494" t="s">
        <v>302</v>
      </c>
      <c r="AE100" s="1494" t="s">
        <v>303</v>
      </c>
      <c r="AF100" s="1494" t="s">
        <v>304</v>
      </c>
      <c r="AG100" s="1494"/>
      <c r="AH100" s="1494" t="str">
        <f>IF($E$100=0,"",$E$100)</f>
        <v>Тариф на горячую воду (горячее водоснабжение)</v>
      </c>
      <c r="AI100" s="1494" t="str">
        <f>IF($G$100=0,"",$G$100)</f>
        <v>Горячее водоснабжение</v>
      </c>
      <c r="AJ100" s="1494" t="str">
        <f>IF($J$100=0,"",$J$100)</f>
        <v>Горячее водоснажение (закрытая система)</v>
      </c>
      <c r="AK100" s="1494" t="str">
        <f>IF($K$100="нет","без дифференциации",IF($N$100=0,"",$N$100))</f>
        <v>Территория 1</v>
      </c>
      <c r="AL100" s="1494" t="str">
        <f>IF($O$100="нет","без дифференциации",IF($R$100=0,"",$R$100))</f>
        <v>пгт. Краскино</v>
      </c>
      <c r="AM100" s="1494" t="str">
        <f>IF($S$100="нет","без дифференциации",IF($V$100=0,"",$V$100))</f>
        <v>без дифференциации</v>
      </c>
      <c r="AN100" s="1494">
        <f>$I$100</f>
        <v>1</v>
      </c>
      <c r="AO100" s="1494" t="str">
        <f>$I$100&amp;"."&amp;$M$100</f>
        <v>1.1</v>
      </c>
      <c r="AP100" s="1494" t="str">
        <f>$I$100&amp;"."&amp;$M$100&amp;"."&amp;$Q$100</f>
        <v>1.1.1</v>
      </c>
      <c r="AQ100" s="1494" t="str">
        <f>$I$100&amp;"."&amp;$M$100&amp;"."&amp;$Q$100&amp;"."&amp;$U$100</f>
        <v>1.1.1.1</v>
      </c>
    </row>
    <row s="16044" customFormat="1" customHeight="1" ht="17.25">
      <c r="A101" s="543"/>
      <c r="C101" s="542"/>
      <c r="D101" s="2277"/>
      <c r="E101" s="2279"/>
      <c r="F101" s="2282"/>
      <c r="G101" s="5631"/>
      <c r="H101" s="5632"/>
      <c r="I101" s="5632"/>
      <c r="J101" s="5633"/>
      <c r="K101" s="5640"/>
      <c r="L101" s="5635"/>
      <c r="M101" s="5635"/>
      <c r="N101" s="5636"/>
      <c r="O101" s="5640"/>
      <c r="P101" s="5635"/>
      <c r="Q101" s="5635"/>
      <c r="R101" s="5637"/>
      <c r="S101" s="5638"/>
      <c r="T101" s="5641"/>
      <c r="U101" s="5642"/>
      <c r="V101" s="5642"/>
      <c r="W101" s="5633"/>
      <c r="Y101" s="1486"/>
      <c r="Z101" s="1486"/>
      <c r="AA101" s="1486"/>
      <c r="AB101" s="1486"/>
      <c r="AC101" s="1486"/>
      <c r="AD101" s="1486"/>
      <c r="AE101" s="1486"/>
      <c r="AF101" s="1486"/>
      <c r="AG101" s="1486"/>
      <c r="AH101" s="1486"/>
      <c r="AI101" s="1486"/>
      <c r="AJ101" s="1486"/>
      <c r="AK101" s="1486"/>
      <c r="AL101" s="1486"/>
      <c r="AM101" s="1486"/>
      <c r="AN101" s="1486"/>
      <c r="AO101" s="1486"/>
      <c r="AP101" s="1486"/>
      <c r="AQ101" s="1486"/>
    </row>
    <row s="16044" customFormat="1" customHeight="1" ht="17.25">
      <c r="A102" s="543"/>
      <c r="C102" s="431"/>
      <c r="D102" s="2277"/>
      <c r="E102" s="2279"/>
      <c r="F102" s="2282"/>
      <c r="G102" s="5631"/>
      <c r="H102" s="5643"/>
      <c r="I102" s="5643"/>
      <c r="J102" s="5644"/>
      <c r="K102" s="5640"/>
      <c r="L102" s="5643"/>
      <c r="M102" s="5643"/>
      <c r="N102" s="5645"/>
      <c r="O102" s="5646"/>
      <c r="P102" s="5647"/>
      <c r="Q102" s="5648"/>
      <c r="R102" s="5649" t="s">
        <v>305</v>
      </c>
      <c r="S102" s="5650"/>
      <c r="T102" s="5651"/>
      <c r="U102" s="5652"/>
      <c r="V102" s="5653"/>
      <c r="W102" s="5654"/>
      <c r="Y102" s="1494"/>
      <c r="Z102" s="1494"/>
      <c r="AA102" s="1494"/>
      <c r="AB102" s="1494"/>
      <c r="AC102" s="1494"/>
      <c r="AD102" s="1494"/>
      <c r="AE102" s="1494"/>
      <c r="AF102" s="1494"/>
      <c r="AG102" s="1494"/>
      <c r="AH102" s="1494"/>
      <c r="AI102" s="1494"/>
      <c r="AJ102" s="1494"/>
      <c r="AK102" s="1494"/>
      <c r="AL102" s="1494"/>
      <c r="AM102" s="1494"/>
      <c r="AN102" s="1494"/>
      <c r="AO102" s="1494"/>
      <c r="AP102" s="1494"/>
      <c r="AQ102" s="1494"/>
    </row>
    <row customHeight="1" ht="17.25">
      <c r="A103" s="2067"/>
      <c r="B103" s="8678"/>
      <c r="C103" s="2069"/>
      <c r="D103" s="2057"/>
      <c r="E103" s="2074"/>
      <c r="F103" s="2011"/>
      <c r="G103" s="2075"/>
      <c r="H103" s="2057"/>
      <c r="I103" s="2057"/>
      <c r="J103" s="2079"/>
      <c r="K103" s="2075"/>
      <c r="L103" s="2264" t="s">
        <v>100</v>
      </c>
      <c r="M103" s="2264" t="s">
        <v>99</v>
      </c>
      <c r="N103" s="2669" t="str">
        <f>IF(Z103="","",INDEX(TERRITORY_MR_LIST,MATCH(Z103,TERRITORY_LIST_ID,0)))</f>
        <v>Территория 2</v>
      </c>
      <c r="O103" s="2326" t="s">
        <v>63</v>
      </c>
      <c r="P103" s="2264"/>
      <c r="Q103" s="2264" t="s">
        <v>168</v>
      </c>
      <c r="R103" s="2650" t="s">
        <v>306</v>
      </c>
      <c r="S103" s="2524" t="s">
        <v>53</v>
      </c>
      <c r="T103" s="2029"/>
      <c r="U103" s="2029" t="s">
        <v>168</v>
      </c>
      <c r="V103" s="1661"/>
      <c r="W103" s="2671"/>
      <c r="X103" s="8678"/>
      <c r="Y103" s="1494"/>
      <c r="Z103" s="1494" t="s">
        <v>101</v>
      </c>
      <c r="AA103" s="1494"/>
      <c r="AB103" s="1494"/>
      <c r="AC103" s="8692" t="s">
        <v>301</v>
      </c>
      <c r="AD103" s="8692" t="s">
        <v>302</v>
      </c>
      <c r="AE103" s="1494" t="s">
        <v>307</v>
      </c>
      <c r="AF103" s="1494" t="s">
        <v>308</v>
      </c>
      <c r="AG103" s="1494" t="s">
        <v>309</v>
      </c>
      <c r="AH103" s="1494" t="str">
        <f>IF($E$100=0,"",$E$100)</f>
        <v>Тариф на горячую воду (горячее водоснабжение)</v>
      </c>
      <c r="AI103" s="1494" t="str">
        <f>IF($G$100=0,"",$G$100)</f>
        <v>Горячее водоснабжение</v>
      </c>
      <c r="AJ103" s="1494" t="str">
        <f>IF($J$100=0,"",$J$100)</f>
        <v>Горячее водоснажение (закрытая система)</v>
      </c>
      <c r="AK103" s="1494" t="str">
        <f>IF($K$103="нет","без дифференциации",IF($N$103=0,"",$N$103))</f>
        <v>Территория 2</v>
      </c>
      <c r="AL103" s="2071" t="str">
        <f>IF($O$103="нет","без дифференциации",IF($R$103=0,"",$R$103))</f>
        <v>пгт. Смоляниново</v>
      </c>
      <c r="AM103" s="2071"/>
      <c r="AN103" s="1494">
        <f>$I$100</f>
        <v>1</v>
      </c>
      <c r="AO103" s="1494" t="str">
        <f>$I$100&amp;"."&amp;$M$103</f>
        <v>1.2</v>
      </c>
      <c r="AP103" s="1494" t="str">
        <f>$I$100&amp;"."&amp;$M$103&amp;"."&amp;$Q$103</f>
        <v>1.2.1</v>
      </c>
      <c r="AQ103" s="1494"/>
    </row>
    <row customHeight="1" ht="17.25">
      <c r="A104" s="2067"/>
      <c r="B104" s="8678"/>
      <c r="C104" s="2072"/>
      <c r="D104" s="2057"/>
      <c r="E104" s="2074"/>
      <c r="F104" s="2011"/>
      <c r="G104" s="2075"/>
      <c r="H104" s="2057"/>
      <c r="I104" s="2057"/>
      <c r="J104" s="2079"/>
      <c r="K104" s="2075"/>
      <c r="L104" s="2264"/>
      <c r="M104" s="2264"/>
      <c r="N104" s="2669"/>
      <c r="O104" s="2327"/>
      <c r="P104" s="2264"/>
      <c r="Q104" s="2264"/>
      <c r="R104" s="2650"/>
      <c r="S104" s="2524"/>
      <c r="T104" s="1662"/>
      <c r="U104" s="1663"/>
      <c r="V104" s="1663"/>
      <c r="W104" s="2671"/>
      <c r="X104" s="8678"/>
      <c r="Y104" s="1486"/>
      <c r="Z104" s="1486"/>
      <c r="AA104" s="1486"/>
      <c r="AB104" s="1486"/>
      <c r="AC104" s="1486"/>
      <c r="AD104" s="1486"/>
      <c r="AE104" s="1486"/>
      <c r="AF104" s="1486"/>
      <c r="AG104" s="1486"/>
      <c r="AH104" s="1486"/>
      <c r="AI104" s="1486"/>
      <c r="AJ104" s="1486"/>
      <c r="AK104" s="1486"/>
      <c r="AL104" s="8678"/>
      <c r="AM104" s="8678"/>
      <c r="AN104" s="8678"/>
      <c r="AO104" s="8678"/>
      <c r="AP104" s="8678"/>
      <c r="AQ104" s="8678"/>
    </row>
    <row customHeight="1" ht="17.25">
      <c r="A105" s="2067"/>
      <c r="B105" s="8678"/>
      <c r="C105" s="2072"/>
      <c r="D105" s="2057"/>
      <c r="E105" s="2074"/>
      <c r="F105" s="2011"/>
      <c r="G105" s="2075"/>
      <c r="H105" s="2057"/>
      <c r="I105" s="2057"/>
      <c r="J105" s="2079"/>
      <c r="K105" s="2075"/>
      <c r="L105" s="2646"/>
      <c r="M105" s="2646"/>
      <c r="N105" s="2670"/>
      <c r="O105" s="2268"/>
      <c r="P105" s="539"/>
      <c r="Q105" s="540"/>
      <c r="R105" s="540" t="s">
        <v>305</v>
      </c>
      <c r="S105" s="2073"/>
      <c r="T105" s="2073"/>
      <c r="U105" s="2073"/>
      <c r="V105" s="2073"/>
      <c r="W105" s="1660"/>
      <c r="X105" s="8678"/>
      <c r="Y105" s="1486"/>
      <c r="Z105" s="1486"/>
      <c r="AA105" s="1486"/>
      <c r="AB105" s="1486"/>
      <c r="AC105" s="1486"/>
      <c r="AD105" s="1486"/>
      <c r="AE105" s="1486"/>
      <c r="AF105" s="1486"/>
      <c r="AG105" s="1486"/>
      <c r="AH105" s="1486"/>
      <c r="AI105" s="1486"/>
      <c r="AJ105" s="1486"/>
      <c r="AK105" s="1486"/>
      <c r="AL105" s="8678"/>
      <c r="AM105" s="8678"/>
      <c r="AN105" s="8678"/>
      <c r="AO105" s="8678"/>
      <c r="AP105" s="8678"/>
      <c r="AQ105" s="8678"/>
    </row>
    <row customHeight="1" ht="17.25">
      <c r="A106" s="2067"/>
      <c r="B106" s="8678"/>
      <c r="C106" s="2069"/>
      <c r="D106" s="2057"/>
      <c r="E106" s="2074"/>
      <c r="F106" s="2011"/>
      <c r="G106" s="2075"/>
      <c r="H106" s="2057"/>
      <c r="I106" s="2057"/>
      <c r="J106" s="2079"/>
      <c r="K106" s="2075"/>
      <c r="L106" s="2264" t="s">
        <v>100</v>
      </c>
      <c r="M106" s="2264" t="s">
        <v>86</v>
      </c>
      <c r="N106" s="2669" t="str">
        <f>IF(Z106="","",INDEX(TERRITORY_MR_LIST,MATCH(Z106,TERRITORY_LIST_ID,0)))</f>
        <v>Территория 3</v>
      </c>
      <c r="O106" s="2326" t="s">
        <v>63</v>
      </c>
      <c r="P106" s="2264"/>
      <c r="Q106" s="2264" t="s">
        <v>168</v>
      </c>
      <c r="R106" s="2650" t="s">
        <v>310</v>
      </c>
      <c r="S106" s="2524" t="s">
        <v>53</v>
      </c>
      <c r="T106" s="2029"/>
      <c r="U106" s="2029" t="s">
        <v>168</v>
      </c>
      <c r="V106" s="1661"/>
      <c r="W106" s="2671"/>
      <c r="X106" s="8678"/>
      <c r="Y106" s="1494"/>
      <c r="Z106" s="1494" t="s">
        <v>106</v>
      </c>
      <c r="AA106" s="1494"/>
      <c r="AB106" s="1494"/>
      <c r="AC106" s="8692" t="s">
        <v>301</v>
      </c>
      <c r="AD106" s="8692" t="s">
        <v>302</v>
      </c>
      <c r="AE106" s="1494" t="s">
        <v>311</v>
      </c>
      <c r="AF106" s="1494" t="s">
        <v>312</v>
      </c>
      <c r="AG106" s="1494" t="s">
        <v>313</v>
      </c>
      <c r="AH106" s="1494" t="str">
        <f>IF($E$100=0,"",$E$100)</f>
        <v>Тариф на горячую воду (горячее водоснабжение)</v>
      </c>
      <c r="AI106" s="1494" t="str">
        <f>IF($G$100=0,"",$G$100)</f>
        <v>Горячее водоснабжение</v>
      </c>
      <c r="AJ106" s="1494" t="str">
        <f>IF($J$100=0,"",$J$100)</f>
        <v>Горячее водоснажение (закрытая система)</v>
      </c>
      <c r="AK106" s="1494" t="str">
        <f>IF($K$106="нет","без дифференциации",IF($N$106=0,"",$N$106))</f>
        <v>Территория 3</v>
      </c>
      <c r="AL106" s="2071" t="str">
        <f>IF($O$106="нет","без дифференциации",IF($R$106=0,"",$R$106))</f>
        <v>Владивостокский ГО</v>
      </c>
      <c r="AM106" s="2071"/>
      <c r="AN106" s="1494">
        <f>$I$100</f>
        <v>1</v>
      </c>
      <c r="AO106" s="1494" t="str">
        <f>$I$100&amp;"."&amp;$M$106</f>
        <v>1.3</v>
      </c>
      <c r="AP106" s="1494" t="str">
        <f>$I$100&amp;"."&amp;$M$106&amp;"."&amp;$Q$106</f>
        <v>1.3.1</v>
      </c>
      <c r="AQ106" s="1494"/>
    </row>
    <row customHeight="1" ht="17.25">
      <c r="A107" s="2067"/>
      <c r="B107" s="8678"/>
      <c r="C107" s="2072"/>
      <c r="D107" s="2057"/>
      <c r="E107" s="2074"/>
      <c r="F107" s="2011"/>
      <c r="G107" s="2075"/>
      <c r="H107" s="2057"/>
      <c r="I107" s="2057"/>
      <c r="J107" s="2079"/>
      <c r="K107" s="2075"/>
      <c r="L107" s="2264"/>
      <c r="M107" s="2264"/>
      <c r="N107" s="2669"/>
      <c r="O107" s="2327"/>
      <c r="P107" s="2264"/>
      <c r="Q107" s="2264"/>
      <c r="R107" s="2650"/>
      <c r="S107" s="2524"/>
      <c r="T107" s="1662"/>
      <c r="U107" s="1663"/>
      <c r="V107" s="1663"/>
      <c r="W107" s="2671"/>
      <c r="X107" s="8678"/>
      <c r="Y107" s="1486"/>
      <c r="Z107" s="1486"/>
      <c r="AA107" s="1486"/>
      <c r="AB107" s="1486"/>
      <c r="AC107" s="1486"/>
      <c r="AD107" s="1486"/>
      <c r="AE107" s="1486"/>
      <c r="AF107" s="1486"/>
      <c r="AG107" s="1486"/>
      <c r="AH107" s="1486"/>
      <c r="AI107" s="1486"/>
      <c r="AJ107" s="1486"/>
      <c r="AK107" s="1486"/>
      <c r="AL107" s="8678"/>
      <c r="AM107" s="8678"/>
      <c r="AN107" s="8678"/>
      <c r="AO107" s="8678"/>
      <c r="AP107" s="8678"/>
      <c r="AQ107" s="8678"/>
    </row>
    <row customHeight="1" ht="17.25">
      <c r="A108" s="2067"/>
      <c r="B108" s="8678"/>
      <c r="C108" s="2072"/>
      <c r="D108" s="2057"/>
      <c r="E108" s="2074"/>
      <c r="F108" s="2011"/>
      <c r="G108" s="2075"/>
      <c r="H108" s="2057"/>
      <c r="I108" s="2057"/>
      <c r="J108" s="2079"/>
      <c r="K108" s="2075"/>
      <c r="L108" s="2646"/>
      <c r="M108" s="2646"/>
      <c r="N108" s="2670"/>
      <c r="O108" s="2268"/>
      <c r="P108" s="539"/>
      <c r="Q108" s="540"/>
      <c r="R108" s="540" t="s">
        <v>305</v>
      </c>
      <c r="S108" s="2073"/>
      <c r="T108" s="2073"/>
      <c r="U108" s="2073"/>
      <c r="V108" s="2073"/>
      <c r="W108" s="1660"/>
      <c r="X108" s="8678"/>
      <c r="Y108" s="1486"/>
      <c r="Z108" s="1486"/>
      <c r="AA108" s="1486"/>
      <c r="AB108" s="1486"/>
      <c r="AC108" s="1486"/>
      <c r="AD108" s="1486"/>
      <c r="AE108" s="1486"/>
      <c r="AF108" s="1486"/>
      <c r="AG108" s="1486"/>
      <c r="AH108" s="1486"/>
      <c r="AI108" s="1486"/>
      <c r="AJ108" s="1486"/>
      <c r="AK108" s="1486"/>
      <c r="AL108" s="8678"/>
      <c r="AM108" s="8678"/>
      <c r="AN108" s="8678"/>
      <c r="AO108" s="8678"/>
      <c r="AP108" s="8678"/>
      <c r="AQ108" s="8678"/>
    </row>
    <row customHeight="1" ht="17.25">
      <c r="A109" s="2067"/>
      <c r="B109" s="8678"/>
      <c r="C109" s="2069"/>
      <c r="D109" s="2057"/>
      <c r="E109" s="2074"/>
      <c r="F109" s="2011"/>
      <c r="G109" s="2075"/>
      <c r="H109" s="2057"/>
      <c r="I109" s="2057"/>
      <c r="J109" s="2079"/>
      <c r="K109" s="2075"/>
      <c r="L109" s="2264" t="s">
        <v>100</v>
      </c>
      <c r="M109" s="2264" t="s">
        <v>87</v>
      </c>
      <c r="N109" s="2669" t="str">
        <f>IF(Z109="","",INDEX(TERRITORY_MR_LIST,MATCH(Z109,TERRITORY_LIST_ID,0)))</f>
        <v>Территория 4</v>
      </c>
      <c r="O109" s="2326" t="s">
        <v>63</v>
      </c>
      <c r="P109" s="2264"/>
      <c r="Q109" s="2264" t="s">
        <v>168</v>
      </c>
      <c r="R109" s="2650" t="s">
        <v>314</v>
      </c>
      <c r="S109" s="2524" t="s">
        <v>53</v>
      </c>
      <c r="T109" s="2029"/>
      <c r="U109" s="2029" t="s">
        <v>168</v>
      </c>
      <c r="V109" s="1661"/>
      <c r="W109" s="2671"/>
      <c r="X109" s="8678"/>
      <c r="Y109" s="1494"/>
      <c r="Z109" s="1494" t="s">
        <v>109</v>
      </c>
      <c r="AA109" s="1494"/>
      <c r="AB109" s="1494"/>
      <c r="AC109" s="8692" t="s">
        <v>301</v>
      </c>
      <c r="AD109" s="8692" t="s">
        <v>302</v>
      </c>
      <c r="AE109" s="1494" t="s">
        <v>315</v>
      </c>
      <c r="AF109" s="1494" t="s">
        <v>316</v>
      </c>
      <c r="AG109" s="1494" t="s">
        <v>317</v>
      </c>
      <c r="AH109" s="1494" t="str">
        <f>IF($E$100=0,"",$E$100)</f>
        <v>Тариф на горячую воду (горячее водоснабжение)</v>
      </c>
      <c r="AI109" s="1494" t="str">
        <f>IF($G$100=0,"",$G$100)</f>
        <v>Горячее водоснабжение</v>
      </c>
      <c r="AJ109" s="1494" t="str">
        <f>IF($J$100=0,"",$J$100)</f>
        <v>Горячее водоснажение (закрытая система)</v>
      </c>
      <c r="AK109" s="1494" t="str">
        <f>IF($K$109="нет","без дифференциации",IF($N$109=0,"",$N$109))</f>
        <v>Территория 4</v>
      </c>
      <c r="AL109" s="2071" t="str">
        <f>IF($O$109="нет","без дифференциации",IF($R$109=0,"",$R$109))</f>
        <v>с. Чугуевка</v>
      </c>
      <c r="AM109" s="2071"/>
      <c r="AN109" s="1494">
        <f>$I$100</f>
        <v>1</v>
      </c>
      <c r="AO109" s="1494" t="str">
        <f>$I$100&amp;"."&amp;$M$109</f>
        <v>1.4</v>
      </c>
      <c r="AP109" s="1494" t="str">
        <f>$I$100&amp;"."&amp;$M$109&amp;"."&amp;$Q$109</f>
        <v>1.4.1</v>
      </c>
      <c r="AQ109" s="1494"/>
    </row>
    <row customHeight="1" ht="17.25">
      <c r="A110" s="2067"/>
      <c r="B110" s="8678"/>
      <c r="C110" s="2072"/>
      <c r="D110" s="2057"/>
      <c r="E110" s="2074"/>
      <c r="F110" s="2011"/>
      <c r="G110" s="2075"/>
      <c r="H110" s="2057"/>
      <c r="I110" s="2057"/>
      <c r="J110" s="2079"/>
      <c r="K110" s="2075"/>
      <c r="L110" s="2264"/>
      <c r="M110" s="2264"/>
      <c r="N110" s="2669"/>
      <c r="O110" s="2327"/>
      <c r="P110" s="2264"/>
      <c r="Q110" s="2264"/>
      <c r="R110" s="2650"/>
      <c r="S110" s="2524"/>
      <c r="T110" s="1662"/>
      <c r="U110" s="1663"/>
      <c r="V110" s="1663"/>
      <c r="W110" s="2671"/>
      <c r="X110" s="8678"/>
      <c r="Y110" s="1486"/>
      <c r="Z110" s="1486"/>
      <c r="AA110" s="1486"/>
      <c r="AB110" s="1486"/>
      <c r="AC110" s="1486"/>
      <c r="AD110" s="1486"/>
      <c r="AE110" s="1486"/>
      <c r="AF110" s="1486"/>
      <c r="AG110" s="1486"/>
      <c r="AH110" s="1486"/>
      <c r="AI110" s="1486"/>
      <c r="AJ110" s="1486"/>
      <c r="AK110" s="1486"/>
      <c r="AL110" s="8678"/>
      <c r="AM110" s="8678"/>
      <c r="AN110" s="8678"/>
      <c r="AO110" s="8678"/>
      <c r="AP110" s="8678"/>
      <c r="AQ110" s="8678"/>
    </row>
    <row customHeight="1" ht="17.25">
      <c r="A111" s="2067"/>
      <c r="B111" s="8678"/>
      <c r="C111" s="2072"/>
      <c r="D111" s="2057"/>
      <c r="E111" s="2074"/>
      <c r="F111" s="2011"/>
      <c r="G111" s="2075"/>
      <c r="H111" s="2057"/>
      <c r="I111" s="2057"/>
      <c r="J111" s="2079"/>
      <c r="K111" s="2075"/>
      <c r="L111" s="2646"/>
      <c r="M111" s="2646"/>
      <c r="N111" s="2670"/>
      <c r="O111" s="2268"/>
      <c r="P111" s="539"/>
      <c r="Q111" s="540"/>
      <c r="R111" s="540" t="s">
        <v>305</v>
      </c>
      <c r="S111" s="2073"/>
      <c r="T111" s="2073"/>
      <c r="U111" s="2073"/>
      <c r="V111" s="2073"/>
      <c r="W111" s="1660"/>
      <c r="X111" s="8678"/>
      <c r="Y111" s="1486"/>
      <c r="Z111" s="1486"/>
      <c r="AA111" s="1486"/>
      <c r="AB111" s="1486"/>
      <c r="AC111" s="1486"/>
      <c r="AD111" s="1486"/>
      <c r="AE111" s="1486"/>
      <c r="AF111" s="1486"/>
      <c r="AG111" s="1486"/>
      <c r="AH111" s="1486"/>
      <c r="AI111" s="1486"/>
      <c r="AJ111" s="1486"/>
      <c r="AK111" s="1486"/>
      <c r="AL111" s="8678"/>
      <c r="AM111" s="8678"/>
      <c r="AN111" s="8678"/>
      <c r="AO111" s="8678"/>
      <c r="AP111" s="8678"/>
      <c r="AQ111" s="8678"/>
    </row>
    <row customHeight="1" ht="17.25">
      <c r="A112" s="2067"/>
      <c r="B112" s="8678"/>
      <c r="C112" s="2069"/>
      <c r="D112" s="2057"/>
      <c r="E112" s="2074"/>
      <c r="F112" s="2011"/>
      <c r="G112" s="2075"/>
      <c r="H112" s="2057"/>
      <c r="I112" s="2057"/>
      <c r="J112" s="2079"/>
      <c r="K112" s="2075"/>
      <c r="L112" s="2264" t="s">
        <v>100</v>
      </c>
      <c r="M112" s="2264" t="s">
        <v>113</v>
      </c>
      <c r="N112" s="2669" t="str">
        <f>IF(Z112="","",INDEX(TERRITORY_MR_LIST,MATCH(Z112,TERRITORY_LIST_ID,0)))</f>
        <v>Территория 5</v>
      </c>
      <c r="O112" s="2326" t="s">
        <v>63</v>
      </c>
      <c r="P112" s="2264"/>
      <c r="Q112" s="2264" t="s">
        <v>168</v>
      </c>
      <c r="R112" s="2650" t="s">
        <v>318</v>
      </c>
      <c r="S112" s="2524" t="s">
        <v>53</v>
      </c>
      <c r="T112" s="2029"/>
      <c r="U112" s="2029" t="s">
        <v>168</v>
      </c>
      <c r="V112" s="1661"/>
      <c r="W112" s="2671"/>
      <c r="X112" s="8678"/>
      <c r="Y112" s="1494"/>
      <c r="Z112" s="1494" t="s">
        <v>114</v>
      </c>
      <c r="AA112" s="1494"/>
      <c r="AB112" s="1494"/>
      <c r="AC112" s="8692" t="s">
        <v>301</v>
      </c>
      <c r="AD112" s="8692" t="s">
        <v>302</v>
      </c>
      <c r="AE112" s="1494" t="s">
        <v>319</v>
      </c>
      <c r="AF112" s="1494" t="s">
        <v>320</v>
      </c>
      <c r="AG112" s="1494" t="s">
        <v>321</v>
      </c>
      <c r="AH112" s="1494" t="str">
        <f>IF($E$100=0,"",$E$100)</f>
        <v>Тариф на горячую воду (горячее водоснабжение)</v>
      </c>
      <c r="AI112" s="1494" t="str">
        <f>IF($G$100=0,"",$G$100)</f>
        <v>Горячее водоснабжение</v>
      </c>
      <c r="AJ112" s="1494" t="str">
        <f>IF($J$100=0,"",$J$100)</f>
        <v>Горячее водоснажение (закрытая система)</v>
      </c>
      <c r="AK112" s="1494" t="str">
        <f>IF($K$112="нет","без дифференциации",IF($N$112=0,"",$N$112))</f>
        <v>Территория 5</v>
      </c>
      <c r="AL112" s="2071" t="str">
        <f>IF($O$112="нет","без дифференциации",IF($R$112=0,"",$R$112))</f>
        <v>Кировское ГП</v>
      </c>
      <c r="AM112" s="2071"/>
      <c r="AN112" s="1494">
        <f>$I$100</f>
        <v>1</v>
      </c>
      <c r="AO112" s="1494" t="str">
        <f>$I$100&amp;"."&amp;$M$112</f>
        <v>1.5</v>
      </c>
      <c r="AP112" s="1494" t="str">
        <f>$I$100&amp;"."&amp;$M$112&amp;"."&amp;$Q$112</f>
        <v>1.5.1</v>
      </c>
      <c r="AQ112" s="1494"/>
    </row>
    <row customHeight="1" ht="17.25">
      <c r="A113" s="2067"/>
      <c r="B113" s="8678"/>
      <c r="C113" s="2072"/>
      <c r="D113" s="2057"/>
      <c r="E113" s="2074"/>
      <c r="F113" s="2011"/>
      <c r="G113" s="2075"/>
      <c r="H113" s="2057"/>
      <c r="I113" s="2057"/>
      <c r="J113" s="2079"/>
      <c r="K113" s="2075"/>
      <c r="L113" s="2264"/>
      <c r="M113" s="2264"/>
      <c r="N113" s="2669"/>
      <c r="O113" s="2327"/>
      <c r="P113" s="2264"/>
      <c r="Q113" s="2264"/>
      <c r="R113" s="2650"/>
      <c r="S113" s="2524"/>
      <c r="T113" s="1662"/>
      <c r="U113" s="1663"/>
      <c r="V113" s="1663"/>
      <c r="W113" s="2671"/>
      <c r="X113" s="8678"/>
      <c r="Y113" s="1486"/>
      <c r="Z113" s="1486"/>
      <c r="AA113" s="1486"/>
      <c r="AB113" s="1486"/>
      <c r="AC113" s="1486"/>
      <c r="AD113" s="1486"/>
      <c r="AE113" s="1486"/>
      <c r="AF113" s="1486"/>
      <c r="AG113" s="1486"/>
      <c r="AH113" s="1486"/>
      <c r="AI113" s="1486"/>
      <c r="AJ113" s="1486"/>
      <c r="AK113" s="1486"/>
      <c r="AL113" s="8678"/>
      <c r="AM113" s="8678"/>
      <c r="AN113" s="8678"/>
      <c r="AO113" s="8678"/>
      <c r="AP113" s="8678"/>
      <c r="AQ113" s="8678"/>
    </row>
    <row customHeight="1" ht="17.25">
      <c r="A114" s="2067"/>
      <c r="B114" s="8678"/>
      <c r="C114" s="2072"/>
      <c r="D114" s="2057"/>
      <c r="E114" s="2074"/>
      <c r="F114" s="2011"/>
      <c r="G114" s="2075"/>
      <c r="H114" s="2057"/>
      <c r="I114" s="2057"/>
      <c r="J114" s="2079"/>
      <c r="K114" s="2075"/>
      <c r="L114" s="2646"/>
      <c r="M114" s="2646"/>
      <c r="N114" s="2670"/>
      <c r="O114" s="2268"/>
      <c r="P114" s="539"/>
      <c r="Q114" s="540"/>
      <c r="R114" s="540" t="s">
        <v>305</v>
      </c>
      <c r="S114" s="2073"/>
      <c r="T114" s="2073"/>
      <c r="U114" s="2073"/>
      <c r="V114" s="2073"/>
      <c r="W114" s="1660"/>
      <c r="X114" s="8678"/>
      <c r="Y114" s="1486"/>
      <c r="Z114" s="1486"/>
      <c r="AA114" s="1486"/>
      <c r="AB114" s="1486"/>
      <c r="AC114" s="1486"/>
      <c r="AD114" s="1486"/>
      <c r="AE114" s="1486"/>
      <c r="AF114" s="1486"/>
      <c r="AG114" s="1486"/>
      <c r="AH114" s="1486"/>
      <c r="AI114" s="1486"/>
      <c r="AJ114" s="1486"/>
      <c r="AK114" s="1486"/>
      <c r="AL114" s="8678"/>
      <c r="AM114" s="8678"/>
      <c r="AN114" s="8678"/>
      <c r="AO114" s="8678"/>
      <c r="AP114" s="8678"/>
      <c r="AQ114" s="8678"/>
    </row>
    <row customHeight="1" ht="17.25">
      <c r="A115" s="2067"/>
      <c r="B115" s="8678"/>
      <c r="C115" s="2069"/>
      <c r="D115" s="2057"/>
      <c r="E115" s="2074"/>
      <c r="F115" s="2011"/>
      <c r="G115" s="2075"/>
      <c r="H115" s="2057"/>
      <c r="I115" s="2057"/>
      <c r="J115" s="2079"/>
      <c r="K115" s="2075"/>
      <c r="L115" s="2264" t="s">
        <v>100</v>
      </c>
      <c r="M115" s="2264" t="s">
        <v>88</v>
      </c>
      <c r="N115" s="2669" t="str">
        <f>IF(Z115="","",INDEX(TERRITORY_MR_LIST,MATCH(Z115,TERRITORY_LIST_ID,0)))</f>
        <v>Территория 6</v>
      </c>
      <c r="O115" s="2326" t="s">
        <v>63</v>
      </c>
      <c r="P115" s="2264"/>
      <c r="Q115" s="2264" t="s">
        <v>168</v>
      </c>
      <c r="R115" s="2650" t="s">
        <v>322</v>
      </c>
      <c r="S115" s="2524" t="s">
        <v>53</v>
      </c>
      <c r="T115" s="2029"/>
      <c r="U115" s="2029" t="s">
        <v>168</v>
      </c>
      <c r="V115" s="1661"/>
      <c r="W115" s="2671"/>
      <c r="X115" s="8678"/>
      <c r="Y115" s="1494"/>
      <c r="Z115" s="1494" t="s">
        <v>119</v>
      </c>
      <c r="AA115" s="1494"/>
      <c r="AB115" s="1494"/>
      <c r="AC115" s="8692" t="s">
        <v>301</v>
      </c>
      <c r="AD115" s="8692" t="s">
        <v>302</v>
      </c>
      <c r="AE115" s="1494" t="s">
        <v>323</v>
      </c>
      <c r="AF115" s="1494" t="s">
        <v>324</v>
      </c>
      <c r="AG115" s="1494" t="s">
        <v>325</v>
      </c>
      <c r="AH115" s="1494" t="str">
        <f>IF($E$100=0,"",$E$100)</f>
        <v>Тариф на горячую воду (горячее водоснабжение)</v>
      </c>
      <c r="AI115" s="1494" t="str">
        <f>IF($G$100=0,"",$G$100)</f>
        <v>Горячее водоснабжение</v>
      </c>
      <c r="AJ115" s="1494" t="str">
        <f>IF($J$100=0,"",$J$100)</f>
        <v>Горячее водоснажение (закрытая система)</v>
      </c>
      <c r="AK115" s="1494" t="str">
        <f>IF($K$115="нет","без дифференциации",IF($N$115=0,"",$N$115))</f>
        <v>Территория 6</v>
      </c>
      <c r="AL115" s="2071" t="str">
        <f>IF($O$115="нет","без дифференциации",IF($R$115=0,"",$R$115))</f>
        <v>г. Дальнереченск</v>
      </c>
      <c r="AM115" s="2071"/>
      <c r="AN115" s="1494">
        <f>$I$100</f>
        <v>1</v>
      </c>
      <c r="AO115" s="1494" t="str">
        <f>$I$100&amp;"."&amp;$M$115</f>
        <v>1.6</v>
      </c>
      <c r="AP115" s="1494" t="str">
        <f>$I$100&amp;"."&amp;$M$115&amp;"."&amp;$Q$115</f>
        <v>1.6.1</v>
      </c>
      <c r="AQ115" s="1494"/>
    </row>
    <row customHeight="1" ht="17.25">
      <c r="A116" s="2067"/>
      <c r="B116" s="8678"/>
      <c r="C116" s="2072"/>
      <c r="D116" s="2057"/>
      <c r="E116" s="2074"/>
      <c r="F116" s="2011"/>
      <c r="G116" s="2075"/>
      <c r="H116" s="2057"/>
      <c r="I116" s="2057"/>
      <c r="J116" s="2079"/>
      <c r="K116" s="2075"/>
      <c r="L116" s="2264"/>
      <c r="M116" s="2264"/>
      <c r="N116" s="2669"/>
      <c r="O116" s="2327"/>
      <c r="P116" s="2264"/>
      <c r="Q116" s="2264"/>
      <c r="R116" s="2650"/>
      <c r="S116" s="2524"/>
      <c r="T116" s="1662"/>
      <c r="U116" s="1663"/>
      <c r="V116" s="1663"/>
      <c r="W116" s="2671"/>
      <c r="X116" s="8678"/>
      <c r="Y116" s="1486"/>
      <c r="Z116" s="1486"/>
      <c r="AA116" s="1486"/>
      <c r="AB116" s="1486"/>
      <c r="AC116" s="1486"/>
      <c r="AD116" s="1486"/>
      <c r="AE116" s="1486"/>
      <c r="AF116" s="1486"/>
      <c r="AG116" s="1486"/>
      <c r="AH116" s="1486"/>
      <c r="AI116" s="1486"/>
      <c r="AJ116" s="1486"/>
      <c r="AK116" s="1486"/>
      <c r="AL116" s="8678"/>
      <c r="AM116" s="8678"/>
      <c r="AN116" s="8678"/>
      <c r="AO116" s="8678"/>
      <c r="AP116" s="8678"/>
      <c r="AQ116" s="8678"/>
    </row>
    <row customHeight="1" ht="17.25">
      <c r="A117" s="2067"/>
      <c r="B117" s="8678"/>
      <c r="C117" s="2072"/>
      <c r="D117" s="2057"/>
      <c r="E117" s="2074"/>
      <c r="F117" s="2011"/>
      <c r="G117" s="2075"/>
      <c r="H117" s="2057"/>
      <c r="I117" s="2057"/>
      <c r="J117" s="2079"/>
      <c r="K117" s="2075"/>
      <c r="L117" s="2646"/>
      <c r="M117" s="2646"/>
      <c r="N117" s="2670"/>
      <c r="O117" s="2268"/>
      <c r="P117" s="539"/>
      <c r="Q117" s="540"/>
      <c r="R117" s="540" t="s">
        <v>305</v>
      </c>
      <c r="S117" s="2073"/>
      <c r="T117" s="2073"/>
      <c r="U117" s="2073"/>
      <c r="V117" s="2073"/>
      <c r="W117" s="1660"/>
      <c r="X117" s="8678"/>
      <c r="Y117" s="1486"/>
      <c r="Z117" s="1486"/>
      <c r="AA117" s="1486"/>
      <c r="AB117" s="1486"/>
      <c r="AC117" s="1486"/>
      <c r="AD117" s="1486"/>
      <c r="AE117" s="1486"/>
      <c r="AF117" s="1486"/>
      <c r="AG117" s="1486"/>
      <c r="AH117" s="1486"/>
      <c r="AI117" s="1486"/>
      <c r="AJ117" s="1486"/>
      <c r="AK117" s="1486"/>
      <c r="AL117" s="8678"/>
      <c r="AM117" s="8678"/>
      <c r="AN117" s="8678"/>
      <c r="AO117" s="8678"/>
      <c r="AP117" s="8678"/>
      <c r="AQ117" s="8678"/>
    </row>
    <row customHeight="1" ht="17.25">
      <c r="A118" s="2067"/>
      <c r="B118" s="8678"/>
      <c r="C118" s="2069"/>
      <c r="D118" s="2057"/>
      <c r="E118" s="2074"/>
      <c r="F118" s="2011"/>
      <c r="G118" s="2075"/>
      <c r="H118" s="2057"/>
      <c r="I118" s="2057"/>
      <c r="J118" s="2079"/>
      <c r="K118" s="2075"/>
      <c r="L118" s="2264" t="s">
        <v>100</v>
      </c>
      <c r="M118" s="2264" t="s">
        <v>89</v>
      </c>
      <c r="N118" s="2669" t="str">
        <f>IF(Z118="","",INDEX(TERRITORY_MR_LIST,MATCH(Z118,TERRITORY_LIST_ID,0)))</f>
        <v>Территория 7</v>
      </c>
      <c r="O118" s="2326" t="s">
        <v>63</v>
      </c>
      <c r="P118" s="2264"/>
      <c r="Q118" s="2264" t="s">
        <v>168</v>
      </c>
      <c r="R118" s="2650" t="s">
        <v>326</v>
      </c>
      <c r="S118" s="2524" t="s">
        <v>53</v>
      </c>
      <c r="T118" s="2029"/>
      <c r="U118" s="2029" t="s">
        <v>168</v>
      </c>
      <c r="V118" s="1661"/>
      <c r="W118" s="2671"/>
      <c r="X118" s="8678"/>
      <c r="Y118" s="1494"/>
      <c r="Z118" s="1494" t="s">
        <v>122</v>
      </c>
      <c r="AA118" s="1494"/>
      <c r="AB118" s="1494"/>
      <c r="AC118" s="8692" t="s">
        <v>301</v>
      </c>
      <c r="AD118" s="8692" t="s">
        <v>302</v>
      </c>
      <c r="AE118" s="1494" t="s">
        <v>327</v>
      </c>
      <c r="AF118" s="1494" t="s">
        <v>328</v>
      </c>
      <c r="AG118" s="1494" t="s">
        <v>329</v>
      </c>
      <c r="AH118" s="1494" t="str">
        <f>IF($E$100=0,"",$E$100)</f>
        <v>Тариф на горячую воду (горячее водоснабжение)</v>
      </c>
      <c r="AI118" s="1494" t="str">
        <f>IF($G$100=0,"",$G$100)</f>
        <v>Горячее водоснабжение</v>
      </c>
      <c r="AJ118" s="1494" t="str">
        <f>IF($J$100=0,"",$J$100)</f>
        <v>Горячее водоснажение (закрытая система)</v>
      </c>
      <c r="AK118" s="1494" t="str">
        <f>IF($K$118="нет","без дифференциации",IF($N$118=0,"",$N$118))</f>
        <v>Территория 7</v>
      </c>
      <c r="AL118" s="2071" t="str">
        <f>IF($O$118="нет","без дифференциации",IF($R$118=0,"",$R$118))</f>
        <v>г. Лесозаводск</v>
      </c>
      <c r="AM118" s="2071"/>
      <c r="AN118" s="1494">
        <f>$I$100</f>
        <v>1</v>
      </c>
      <c r="AO118" s="1494" t="str">
        <f>$I$100&amp;"."&amp;$M$118</f>
        <v>1.7</v>
      </c>
      <c r="AP118" s="1494" t="str">
        <f>$I$100&amp;"."&amp;$M$118&amp;"."&amp;$Q$118</f>
        <v>1.7.1</v>
      </c>
      <c r="AQ118" s="1494"/>
    </row>
    <row customHeight="1" ht="17.25">
      <c r="A119" s="2067"/>
      <c r="B119" s="8678"/>
      <c r="C119" s="2072"/>
      <c r="D119" s="2057"/>
      <c r="E119" s="2074"/>
      <c r="F119" s="2011"/>
      <c r="G119" s="2075"/>
      <c r="H119" s="2057"/>
      <c r="I119" s="2057"/>
      <c r="J119" s="2079"/>
      <c r="K119" s="2075"/>
      <c r="L119" s="2264"/>
      <c r="M119" s="2264"/>
      <c r="N119" s="2669"/>
      <c r="O119" s="2327"/>
      <c r="P119" s="2264"/>
      <c r="Q119" s="2264"/>
      <c r="R119" s="2650"/>
      <c r="S119" s="2524"/>
      <c r="T119" s="1662"/>
      <c r="U119" s="1663"/>
      <c r="V119" s="1663"/>
      <c r="W119" s="2671"/>
      <c r="X119" s="8678"/>
      <c r="Y119" s="1486"/>
      <c r="Z119" s="1486"/>
      <c r="AA119" s="1486"/>
      <c r="AB119" s="1486"/>
      <c r="AC119" s="1486"/>
      <c r="AD119" s="1486"/>
      <c r="AE119" s="1486"/>
      <c r="AF119" s="1486"/>
      <c r="AG119" s="1486"/>
      <c r="AH119" s="1486"/>
      <c r="AI119" s="1486"/>
      <c r="AJ119" s="1486"/>
      <c r="AK119" s="1486"/>
      <c r="AL119" s="8678"/>
      <c r="AM119" s="8678"/>
      <c r="AN119" s="8678"/>
      <c r="AO119" s="8678"/>
      <c r="AP119" s="8678"/>
      <c r="AQ119" s="8678"/>
    </row>
    <row customHeight="1" ht="17.25">
      <c r="A120" s="2067"/>
      <c r="B120" s="8678"/>
      <c r="C120" s="2072"/>
      <c r="D120" s="2057"/>
      <c r="E120" s="2074"/>
      <c r="F120" s="2011"/>
      <c r="G120" s="2075"/>
      <c r="H120" s="2057"/>
      <c r="I120" s="2057"/>
      <c r="J120" s="2079"/>
      <c r="K120" s="2075"/>
      <c r="L120" s="2646"/>
      <c r="M120" s="2646"/>
      <c r="N120" s="2670"/>
      <c r="O120" s="2268"/>
      <c r="P120" s="539"/>
      <c r="Q120" s="540"/>
      <c r="R120" s="540" t="s">
        <v>305</v>
      </c>
      <c r="S120" s="2073"/>
      <c r="T120" s="2073"/>
      <c r="U120" s="2073"/>
      <c r="V120" s="2073"/>
      <c r="W120" s="1660"/>
      <c r="X120" s="8678"/>
      <c r="Y120" s="1486"/>
      <c r="Z120" s="1486"/>
      <c r="AA120" s="1486"/>
      <c r="AB120" s="1486"/>
      <c r="AC120" s="1486"/>
      <c r="AD120" s="1486"/>
      <c r="AE120" s="1486"/>
      <c r="AF120" s="1486"/>
      <c r="AG120" s="1486"/>
      <c r="AH120" s="1486"/>
      <c r="AI120" s="1486"/>
      <c r="AJ120" s="1486"/>
      <c r="AK120" s="1486"/>
      <c r="AL120" s="8678"/>
      <c r="AM120" s="8678"/>
      <c r="AN120" s="8678"/>
      <c r="AO120" s="8678"/>
      <c r="AP120" s="8678"/>
      <c r="AQ120" s="8678"/>
    </row>
    <row customHeight="1" ht="17.25">
      <c r="A121" s="2067"/>
      <c r="B121" s="8678"/>
      <c r="C121" s="2069"/>
      <c r="D121" s="2057"/>
      <c r="E121" s="2074"/>
      <c r="F121" s="2011"/>
      <c r="G121" s="2075"/>
      <c r="H121" s="2057"/>
      <c r="I121" s="2057"/>
      <c r="J121" s="2079"/>
      <c r="K121" s="2075"/>
      <c r="L121" s="2264" t="s">
        <v>100</v>
      </c>
      <c r="M121" s="2264" t="s">
        <v>126</v>
      </c>
      <c r="N121" s="2669" t="str">
        <f>IF(Z121="","",INDEX(TERRITORY_MR_LIST,MATCH(Z121,TERRITORY_LIST_ID,0)))</f>
        <v>Территория 8</v>
      </c>
      <c r="O121" s="2326" t="s">
        <v>63</v>
      </c>
      <c r="P121" s="2264"/>
      <c r="Q121" s="2264" t="s">
        <v>168</v>
      </c>
      <c r="R121" s="2650" t="s">
        <v>330</v>
      </c>
      <c r="S121" s="2524" t="s">
        <v>53</v>
      </c>
      <c r="T121" s="2029"/>
      <c r="U121" s="2029" t="s">
        <v>168</v>
      </c>
      <c r="V121" s="1661"/>
      <c r="W121" s="2671"/>
      <c r="X121" s="8678"/>
      <c r="Y121" s="1494"/>
      <c r="Z121" s="1494" t="s">
        <v>127</v>
      </c>
      <c r="AA121" s="1494"/>
      <c r="AB121" s="1494"/>
      <c r="AC121" s="8692" t="s">
        <v>301</v>
      </c>
      <c r="AD121" s="8692" t="s">
        <v>302</v>
      </c>
      <c r="AE121" s="1494" t="s">
        <v>331</v>
      </c>
      <c r="AF121" s="1494" t="s">
        <v>332</v>
      </c>
      <c r="AG121" s="1494" t="s">
        <v>333</v>
      </c>
      <c r="AH121" s="1494" t="str">
        <f>IF($E$100=0,"",$E$100)</f>
        <v>Тариф на горячую воду (горячее водоснабжение)</v>
      </c>
      <c r="AI121" s="1494" t="str">
        <f>IF($G$100=0,"",$G$100)</f>
        <v>Горячее водоснабжение</v>
      </c>
      <c r="AJ121" s="1494" t="str">
        <f>IF($J$100=0,"",$J$100)</f>
        <v>Горячее водоснажение (закрытая система)</v>
      </c>
      <c r="AK121" s="1494" t="str">
        <f>IF($K$121="нет","без дифференциации",IF($N$121=0,"",$N$121))</f>
        <v>Территория 8</v>
      </c>
      <c r="AL121" s="2071" t="str">
        <f>IF($O$121="нет","без дифференциации",IF($R$121=0,"",$R$121))</f>
        <v>с. Светлогорье</v>
      </c>
      <c r="AM121" s="2071"/>
      <c r="AN121" s="1494">
        <f>$I$100</f>
        <v>1</v>
      </c>
      <c r="AO121" s="1494" t="str">
        <f>$I$100&amp;"."&amp;$M$121</f>
        <v>1.8</v>
      </c>
      <c r="AP121" s="1494" t="str">
        <f>$I$100&amp;"."&amp;$M$121&amp;"."&amp;$Q$121</f>
        <v>1.8.1</v>
      </c>
      <c r="AQ121" s="1494"/>
    </row>
    <row customHeight="1" ht="17.25">
      <c r="A122" s="2067"/>
      <c r="B122" s="8678"/>
      <c r="C122" s="2072"/>
      <c r="D122" s="2057"/>
      <c r="E122" s="2074"/>
      <c r="F122" s="2011"/>
      <c r="G122" s="2075"/>
      <c r="H122" s="2057"/>
      <c r="I122" s="2057"/>
      <c r="J122" s="2079"/>
      <c r="K122" s="2075"/>
      <c r="L122" s="2264"/>
      <c r="M122" s="2264"/>
      <c r="N122" s="2669"/>
      <c r="O122" s="2327"/>
      <c r="P122" s="2264"/>
      <c r="Q122" s="2264"/>
      <c r="R122" s="2650"/>
      <c r="S122" s="2524"/>
      <c r="T122" s="1662"/>
      <c r="U122" s="1663"/>
      <c r="V122" s="1663"/>
      <c r="W122" s="2671"/>
      <c r="X122" s="8678"/>
      <c r="Y122" s="1486"/>
      <c r="Z122" s="1486"/>
      <c r="AA122" s="1486"/>
      <c r="AB122" s="1486"/>
      <c r="AC122" s="1486"/>
      <c r="AD122" s="1486"/>
      <c r="AE122" s="1486"/>
      <c r="AF122" s="1486"/>
      <c r="AG122" s="1486"/>
      <c r="AH122" s="1486"/>
      <c r="AI122" s="1486"/>
      <c r="AJ122" s="1486"/>
      <c r="AK122" s="1486"/>
      <c r="AL122" s="8678"/>
      <c r="AM122" s="8678"/>
      <c r="AN122" s="8678"/>
      <c r="AO122" s="8678"/>
      <c r="AP122" s="8678"/>
      <c r="AQ122" s="8678"/>
    </row>
    <row customHeight="1" ht="17.25">
      <c r="A123" s="2067"/>
      <c r="B123" s="8678"/>
      <c r="C123" s="2072"/>
      <c r="D123" s="2057"/>
      <c r="E123" s="2074"/>
      <c r="F123" s="2011"/>
      <c r="G123" s="2075"/>
      <c r="H123" s="2057"/>
      <c r="I123" s="2057"/>
      <c r="J123" s="2079"/>
      <c r="K123" s="2075"/>
      <c r="L123" s="2646"/>
      <c r="M123" s="2646"/>
      <c r="N123" s="2670"/>
      <c r="O123" s="2268"/>
      <c r="P123" s="539"/>
      <c r="Q123" s="540"/>
      <c r="R123" s="540" t="s">
        <v>305</v>
      </c>
      <c r="S123" s="2073"/>
      <c r="T123" s="2073"/>
      <c r="U123" s="2073"/>
      <c r="V123" s="2073"/>
      <c r="W123" s="1660"/>
      <c r="X123" s="8678"/>
      <c r="Y123" s="1486"/>
      <c r="Z123" s="1486"/>
      <c r="AA123" s="1486"/>
      <c r="AB123" s="1486"/>
      <c r="AC123" s="1486"/>
      <c r="AD123" s="1486"/>
      <c r="AE123" s="1486"/>
      <c r="AF123" s="1486"/>
      <c r="AG123" s="1486"/>
      <c r="AH123" s="1486"/>
      <c r="AI123" s="1486"/>
      <c r="AJ123" s="1486"/>
      <c r="AK123" s="1486"/>
      <c r="AL123" s="8678"/>
      <c r="AM123" s="8678"/>
      <c r="AN123" s="8678"/>
      <c r="AO123" s="8678"/>
      <c r="AP123" s="8678"/>
      <c r="AQ123" s="8678"/>
    </row>
    <row customHeight="1" ht="17.25">
      <c r="A124" s="2067"/>
      <c r="B124" s="8678"/>
      <c r="C124" s="2069"/>
      <c r="D124" s="2057"/>
      <c r="E124" s="2074"/>
      <c r="F124" s="2011"/>
      <c r="G124" s="2075"/>
      <c r="H124" s="2057"/>
      <c r="I124" s="2057"/>
      <c r="J124" s="2079"/>
      <c r="K124" s="2075"/>
      <c r="L124" s="2264" t="s">
        <v>100</v>
      </c>
      <c r="M124" s="2264" t="s">
        <v>131</v>
      </c>
      <c r="N124" s="2669" t="str">
        <f>IF(Z124="","",INDEX(TERRITORY_MR_LIST,MATCH(Z124,TERRITORY_LIST_ID,0)))</f>
        <v>Территория 9</v>
      </c>
      <c r="O124" s="2326" t="s">
        <v>63</v>
      </c>
      <c r="P124" s="2264"/>
      <c r="Q124" s="2264" t="s">
        <v>168</v>
      </c>
      <c r="R124" s="2650" t="s">
        <v>334</v>
      </c>
      <c r="S124" s="2524" t="s">
        <v>53</v>
      </c>
      <c r="T124" s="2029"/>
      <c r="U124" s="2029" t="s">
        <v>168</v>
      </c>
      <c r="V124" s="1661"/>
      <c r="W124" s="2671"/>
      <c r="X124" s="8678"/>
      <c r="Y124" s="1494"/>
      <c r="Z124" s="1494" t="s">
        <v>132</v>
      </c>
      <c r="AA124" s="1494"/>
      <c r="AB124" s="1494"/>
      <c r="AC124" s="8692" t="s">
        <v>301</v>
      </c>
      <c r="AD124" s="8692" t="s">
        <v>302</v>
      </c>
      <c r="AE124" s="1494" t="s">
        <v>335</v>
      </c>
      <c r="AF124" s="1494" t="s">
        <v>336</v>
      </c>
      <c r="AG124" s="1494" t="s">
        <v>337</v>
      </c>
      <c r="AH124" s="1494" t="str">
        <f>IF($E$100=0,"",$E$100)</f>
        <v>Тариф на горячую воду (горячее водоснабжение)</v>
      </c>
      <c r="AI124" s="1494" t="str">
        <f>IF($G$100=0,"",$G$100)</f>
        <v>Горячее водоснабжение</v>
      </c>
      <c r="AJ124" s="1494" t="str">
        <f>IF($J$100=0,"",$J$100)</f>
        <v>Горячее водоснажение (закрытая система)</v>
      </c>
      <c r="AK124" s="1494" t="str">
        <f>IF($K$124="нет","без дифференциации",IF($N$124=0,"",$N$124))</f>
        <v>Территория 9</v>
      </c>
      <c r="AL124" s="2071" t="str">
        <f>IF($O$124="нет","без дифференциации",IF($R$124=0,"",$R$124))</f>
        <v>г. Находка</v>
      </c>
      <c r="AM124" s="2071"/>
      <c r="AN124" s="1494">
        <f>$I$100</f>
        <v>1</v>
      </c>
      <c r="AO124" s="1494" t="str">
        <f>$I$100&amp;"."&amp;$M$124</f>
        <v>1.9</v>
      </c>
      <c r="AP124" s="1494" t="str">
        <f>$I$100&amp;"."&amp;$M$124&amp;"."&amp;$Q$124</f>
        <v>1.9.1</v>
      </c>
      <c r="AQ124" s="1494"/>
    </row>
    <row customHeight="1" ht="17.25">
      <c r="A125" s="2067"/>
      <c r="B125" s="8678"/>
      <c r="C125" s="2072"/>
      <c r="D125" s="2057"/>
      <c r="E125" s="2074"/>
      <c r="F125" s="2011"/>
      <c r="G125" s="2075"/>
      <c r="H125" s="2057"/>
      <c r="I125" s="2057"/>
      <c r="J125" s="2079"/>
      <c r="K125" s="2075"/>
      <c r="L125" s="2264"/>
      <c r="M125" s="2264"/>
      <c r="N125" s="2669"/>
      <c r="O125" s="2327"/>
      <c r="P125" s="2264"/>
      <c r="Q125" s="2264"/>
      <c r="R125" s="2650"/>
      <c r="S125" s="2524"/>
      <c r="T125" s="1662"/>
      <c r="U125" s="1663"/>
      <c r="V125" s="1663"/>
      <c r="W125" s="2671"/>
      <c r="X125" s="8678"/>
      <c r="Y125" s="1486"/>
      <c r="Z125" s="1486"/>
      <c r="AA125" s="1486"/>
      <c r="AB125" s="1486"/>
      <c r="AC125" s="1486"/>
      <c r="AD125" s="1486"/>
      <c r="AE125" s="1486"/>
      <c r="AF125" s="1486"/>
      <c r="AG125" s="1486"/>
      <c r="AH125" s="1486"/>
      <c r="AI125" s="1486"/>
      <c r="AJ125" s="1486"/>
      <c r="AK125" s="1486"/>
      <c r="AL125" s="8678"/>
      <c r="AM125" s="8678"/>
      <c r="AN125" s="8678"/>
      <c r="AO125" s="8678"/>
      <c r="AP125" s="8678"/>
      <c r="AQ125" s="8678"/>
    </row>
    <row customHeight="1" ht="17.25">
      <c r="A126" s="2067"/>
      <c r="B126" s="8678"/>
      <c r="C126" s="2072"/>
      <c r="D126" s="2057"/>
      <c r="E126" s="2074"/>
      <c r="F126" s="2011"/>
      <c r="G126" s="2075"/>
      <c r="H126" s="2057"/>
      <c r="I126" s="2057"/>
      <c r="J126" s="2079"/>
      <c r="K126" s="2075"/>
      <c r="L126" s="2646"/>
      <c r="M126" s="2646"/>
      <c r="N126" s="2670"/>
      <c r="O126" s="2268"/>
      <c r="P126" s="539"/>
      <c r="Q126" s="540"/>
      <c r="R126" s="540" t="s">
        <v>305</v>
      </c>
      <c r="S126" s="2073"/>
      <c r="T126" s="2073"/>
      <c r="U126" s="2073"/>
      <c r="V126" s="2073"/>
      <c r="W126" s="1660"/>
      <c r="X126" s="8678"/>
      <c r="Y126" s="1486"/>
      <c r="Z126" s="1486"/>
      <c r="AA126" s="1486"/>
      <c r="AB126" s="1486"/>
      <c r="AC126" s="1486"/>
      <c r="AD126" s="1486"/>
      <c r="AE126" s="1486"/>
      <c r="AF126" s="1486"/>
      <c r="AG126" s="1486"/>
      <c r="AH126" s="1486"/>
      <c r="AI126" s="1486"/>
      <c r="AJ126" s="1486"/>
      <c r="AK126" s="1486"/>
      <c r="AL126" s="8678"/>
      <c r="AM126" s="8678"/>
      <c r="AN126" s="8678"/>
      <c r="AO126" s="8678"/>
      <c r="AP126" s="8678"/>
      <c r="AQ126" s="8678"/>
    </row>
    <row customHeight="1" ht="17.25">
      <c r="A127" s="2067"/>
      <c r="B127" s="8678"/>
      <c r="C127" s="2069"/>
      <c r="D127" s="2057"/>
      <c r="E127" s="2074"/>
      <c r="F127" s="2011"/>
      <c r="G127" s="2075"/>
      <c r="H127" s="2057"/>
      <c r="I127" s="2057"/>
      <c r="J127" s="2079"/>
      <c r="K127" s="2075"/>
      <c r="L127" s="2264" t="s">
        <v>100</v>
      </c>
      <c r="M127" s="2264" t="s">
        <v>136</v>
      </c>
      <c r="N127" s="2669" t="str">
        <f>IF(Z127="","",INDEX(TERRITORY_MR_LIST,MATCH(Z127,TERRITORY_LIST_ID,0)))</f>
        <v>Территория 10</v>
      </c>
      <c r="O127" s="2326" t="s">
        <v>63</v>
      </c>
      <c r="P127" s="2264"/>
      <c r="Q127" s="2264" t="s">
        <v>168</v>
      </c>
      <c r="R127" s="2650" t="s">
        <v>338</v>
      </c>
      <c r="S127" s="2524" t="s">
        <v>53</v>
      </c>
      <c r="T127" s="2029"/>
      <c r="U127" s="2029" t="s">
        <v>168</v>
      </c>
      <c r="V127" s="1661"/>
      <c r="W127" s="2671"/>
      <c r="X127" s="8678"/>
      <c r="Y127" s="1494"/>
      <c r="Z127" s="1494" t="s">
        <v>137</v>
      </c>
      <c r="AA127" s="1494"/>
      <c r="AB127" s="1494"/>
      <c r="AC127" s="8692" t="s">
        <v>301</v>
      </c>
      <c r="AD127" s="8692" t="s">
        <v>302</v>
      </c>
      <c r="AE127" s="1494" t="s">
        <v>339</v>
      </c>
      <c r="AF127" s="1494" t="s">
        <v>340</v>
      </c>
      <c r="AG127" s="1494" t="s">
        <v>341</v>
      </c>
      <c r="AH127" s="1494" t="str">
        <f>IF($E$100=0,"",$E$100)</f>
        <v>Тариф на горячую воду (горячее водоснабжение)</v>
      </c>
      <c r="AI127" s="1494" t="str">
        <f>IF($G$100=0,"",$G$100)</f>
        <v>Горячее водоснабжение</v>
      </c>
      <c r="AJ127" s="1494" t="str">
        <f>IF($J$100=0,"",$J$100)</f>
        <v>Горячее водоснажение (закрытая система)</v>
      </c>
      <c r="AK127" s="1494" t="str">
        <f>IF($K$127="нет","без дифференциации",IF($N$127=0,"",$N$127))</f>
        <v>Территория 10</v>
      </c>
      <c r="AL127" s="2071" t="str">
        <f>IF($O$127="нет","без дифференциации",IF($R$127=0,"",$R$127))</f>
        <v>пгт. Преображение</v>
      </c>
      <c r="AM127" s="2071"/>
      <c r="AN127" s="1494">
        <f>$I$100</f>
        <v>1</v>
      </c>
      <c r="AO127" s="1494" t="str">
        <f>$I$100&amp;"."&amp;$M$127</f>
        <v>1.10</v>
      </c>
      <c r="AP127" s="1494" t="str">
        <f>$I$100&amp;"."&amp;$M$127&amp;"."&amp;$Q$127</f>
        <v>1.10.1</v>
      </c>
      <c r="AQ127" s="1494"/>
    </row>
    <row customHeight="1" ht="17.25">
      <c r="A128" s="2067"/>
      <c r="B128" s="8678"/>
      <c r="C128" s="2072"/>
      <c r="D128" s="2057"/>
      <c r="E128" s="2074"/>
      <c r="F128" s="2011"/>
      <c r="G128" s="2075"/>
      <c r="H128" s="2057"/>
      <c r="I128" s="2057"/>
      <c r="J128" s="2079"/>
      <c r="K128" s="2075"/>
      <c r="L128" s="2264"/>
      <c r="M128" s="2264"/>
      <c r="N128" s="2669"/>
      <c r="O128" s="2327"/>
      <c r="P128" s="2264"/>
      <c r="Q128" s="2264"/>
      <c r="R128" s="2650"/>
      <c r="S128" s="2524"/>
      <c r="T128" s="1662"/>
      <c r="U128" s="1663"/>
      <c r="V128" s="1663"/>
      <c r="W128" s="2671"/>
      <c r="X128" s="8678"/>
      <c r="Y128" s="1486"/>
      <c r="Z128" s="1486"/>
      <c r="AA128" s="1486"/>
      <c r="AB128" s="1486"/>
      <c r="AC128" s="1486"/>
      <c r="AD128" s="1486"/>
      <c r="AE128" s="1486"/>
      <c r="AF128" s="1486"/>
      <c r="AG128" s="1486"/>
      <c r="AH128" s="1486"/>
      <c r="AI128" s="1486"/>
      <c r="AJ128" s="1486"/>
      <c r="AK128" s="1486"/>
      <c r="AL128" s="8678"/>
      <c r="AM128" s="8678"/>
      <c r="AN128" s="8678"/>
      <c r="AO128" s="8678"/>
      <c r="AP128" s="8678"/>
      <c r="AQ128" s="8678"/>
    </row>
    <row customHeight="1" ht="17.25">
      <c r="A129" s="2067"/>
      <c r="B129" s="8678"/>
      <c r="C129" s="2072"/>
      <c r="D129" s="2057"/>
      <c r="E129" s="2074"/>
      <c r="F129" s="2011"/>
      <c r="G129" s="2075"/>
      <c r="H129" s="2057"/>
      <c r="I129" s="2057"/>
      <c r="J129" s="2079"/>
      <c r="K129" s="2075"/>
      <c r="L129" s="2646"/>
      <c r="M129" s="2646"/>
      <c r="N129" s="2670"/>
      <c r="O129" s="2268"/>
      <c r="P129" s="539"/>
      <c r="Q129" s="540"/>
      <c r="R129" s="540" t="s">
        <v>305</v>
      </c>
      <c r="S129" s="2073"/>
      <c r="T129" s="2073"/>
      <c r="U129" s="2073"/>
      <c r="V129" s="2073"/>
      <c r="W129" s="1660"/>
      <c r="X129" s="8678"/>
      <c r="Y129" s="1486"/>
      <c r="Z129" s="1486"/>
      <c r="AA129" s="1486"/>
      <c r="AB129" s="1486"/>
      <c r="AC129" s="1486"/>
      <c r="AD129" s="1486"/>
      <c r="AE129" s="1486"/>
      <c r="AF129" s="1486"/>
      <c r="AG129" s="1486"/>
      <c r="AH129" s="1486"/>
      <c r="AI129" s="1486"/>
      <c r="AJ129" s="1486"/>
      <c r="AK129" s="1486"/>
      <c r="AL129" s="8678"/>
      <c r="AM129" s="8678"/>
      <c r="AN129" s="8678"/>
      <c r="AO129" s="8678"/>
      <c r="AP129" s="8678"/>
      <c r="AQ129" s="8678"/>
    </row>
    <row customHeight="1" ht="17.25">
      <c r="A130" s="2067"/>
      <c r="B130" s="8678"/>
      <c r="C130" s="2069"/>
      <c r="D130" s="2057"/>
      <c r="E130" s="2074"/>
      <c r="F130" s="2011"/>
      <c r="G130" s="2075"/>
      <c r="H130" s="2057"/>
      <c r="I130" s="2057"/>
      <c r="J130" s="2079"/>
      <c r="K130" s="2075"/>
      <c r="L130" s="2264" t="s">
        <v>100</v>
      </c>
      <c r="M130" s="2264" t="s">
        <v>141</v>
      </c>
      <c r="N130" s="2669" t="str">
        <f>IF(Z130="","",INDEX(TERRITORY_MR_LIST,MATCH(Z130,TERRITORY_LIST_ID,0)))</f>
        <v>Территория 11</v>
      </c>
      <c r="O130" s="2326" t="s">
        <v>63</v>
      </c>
      <c r="P130" s="2264"/>
      <c r="Q130" s="2264" t="s">
        <v>168</v>
      </c>
      <c r="R130" s="2650" t="s">
        <v>342</v>
      </c>
      <c r="S130" s="2524" t="s">
        <v>53</v>
      </c>
      <c r="T130" s="2029"/>
      <c r="U130" s="2029" t="s">
        <v>168</v>
      </c>
      <c r="V130" s="1661"/>
      <c r="W130" s="2671"/>
      <c r="X130" s="8678"/>
      <c r="Y130" s="1494"/>
      <c r="Z130" s="1494" t="s">
        <v>142</v>
      </c>
      <c r="AA130" s="1494"/>
      <c r="AB130" s="1494"/>
      <c r="AC130" s="8692" t="s">
        <v>301</v>
      </c>
      <c r="AD130" s="8692" t="s">
        <v>302</v>
      </c>
      <c r="AE130" s="1494" t="s">
        <v>343</v>
      </c>
      <c r="AF130" s="1494" t="s">
        <v>344</v>
      </c>
      <c r="AG130" s="1494" t="s">
        <v>345</v>
      </c>
      <c r="AH130" s="1494" t="str">
        <f>IF($E$100=0,"",$E$100)</f>
        <v>Тариф на горячую воду (горячее водоснабжение)</v>
      </c>
      <c r="AI130" s="1494" t="str">
        <f>IF($G$100=0,"",$G$100)</f>
        <v>Горячее водоснабжение</v>
      </c>
      <c r="AJ130" s="1494" t="str">
        <f>IF($J$100=0,"",$J$100)</f>
        <v>Горячее водоснажение (закрытая система)</v>
      </c>
      <c r="AK130" s="1494" t="str">
        <f>IF($K$130="нет","без дифференциации",IF($N$130=0,"",$N$130))</f>
        <v>Территория 11</v>
      </c>
      <c r="AL130" s="2071" t="str">
        <f>IF($O$130="нет","без дифференциации",IF($R$130=0,"",$R$130))</f>
        <v>с. Екатериновка Партизанского МО</v>
      </c>
      <c r="AM130" s="2071"/>
      <c r="AN130" s="1494">
        <f>$I$100</f>
        <v>1</v>
      </c>
      <c r="AO130" s="1494" t="str">
        <f>$I$100&amp;"."&amp;$M$130</f>
        <v>1.11</v>
      </c>
      <c r="AP130" s="1494" t="str">
        <f>$I$100&amp;"."&amp;$M$130&amp;"."&amp;$Q$130</f>
        <v>1.11.1</v>
      </c>
      <c r="AQ130" s="1494"/>
    </row>
    <row customHeight="1" ht="17.25">
      <c r="A131" s="2067"/>
      <c r="B131" s="8678"/>
      <c r="C131" s="2072"/>
      <c r="D131" s="2057"/>
      <c r="E131" s="2074"/>
      <c r="F131" s="2011"/>
      <c r="G131" s="2075"/>
      <c r="H131" s="2057"/>
      <c r="I131" s="2057"/>
      <c r="J131" s="2079"/>
      <c r="K131" s="2075"/>
      <c r="L131" s="2264"/>
      <c r="M131" s="2264"/>
      <c r="N131" s="2669"/>
      <c r="O131" s="2327"/>
      <c r="P131" s="2264"/>
      <c r="Q131" s="2264"/>
      <c r="R131" s="2650"/>
      <c r="S131" s="2524"/>
      <c r="T131" s="1662"/>
      <c r="U131" s="1663"/>
      <c r="V131" s="1663"/>
      <c r="W131" s="2671"/>
      <c r="X131" s="8678"/>
      <c r="Y131" s="1486"/>
      <c r="Z131" s="1486"/>
      <c r="AA131" s="1486"/>
      <c r="AB131" s="1486"/>
      <c r="AC131" s="1486"/>
      <c r="AD131" s="1486"/>
      <c r="AE131" s="1486"/>
      <c r="AF131" s="1486"/>
      <c r="AG131" s="1486"/>
      <c r="AH131" s="1486"/>
      <c r="AI131" s="1486"/>
      <c r="AJ131" s="1486"/>
      <c r="AK131" s="1486"/>
      <c r="AL131" s="8678"/>
      <c r="AM131" s="8678"/>
      <c r="AN131" s="8678"/>
      <c r="AO131" s="8678"/>
      <c r="AP131" s="8678"/>
      <c r="AQ131" s="8678"/>
    </row>
    <row customHeight="1" ht="17.25">
      <c r="A132" s="2067"/>
      <c r="B132" s="8678"/>
      <c r="C132" s="2072"/>
      <c r="D132" s="2057"/>
      <c r="E132" s="2074"/>
      <c r="F132" s="2011"/>
      <c r="G132" s="2075"/>
      <c r="H132" s="2057"/>
      <c r="I132" s="2057"/>
      <c r="J132" s="2079"/>
      <c r="K132" s="2075"/>
      <c r="L132" s="2646"/>
      <c r="M132" s="2646"/>
      <c r="N132" s="2670"/>
      <c r="O132" s="2268"/>
      <c r="P132" s="539"/>
      <c r="Q132" s="540"/>
      <c r="R132" s="540" t="s">
        <v>305</v>
      </c>
      <c r="S132" s="2073"/>
      <c r="T132" s="2073"/>
      <c r="U132" s="2073"/>
      <c r="V132" s="2073"/>
      <c r="W132" s="1660"/>
      <c r="X132" s="8678"/>
      <c r="Y132" s="1486"/>
      <c r="Z132" s="1486"/>
      <c r="AA132" s="1486"/>
      <c r="AB132" s="1486"/>
      <c r="AC132" s="1486"/>
      <c r="AD132" s="1486"/>
      <c r="AE132" s="1486"/>
      <c r="AF132" s="1486"/>
      <c r="AG132" s="1486"/>
      <c r="AH132" s="1486"/>
      <c r="AI132" s="1486"/>
      <c r="AJ132" s="1486"/>
      <c r="AK132" s="1486"/>
      <c r="AL132" s="8678"/>
      <c r="AM132" s="8678"/>
      <c r="AN132" s="8678"/>
      <c r="AO132" s="8678"/>
      <c r="AP132" s="8678"/>
      <c r="AQ132" s="8678"/>
    </row>
    <row customHeight="1" ht="17.25">
      <c r="A133" s="2067"/>
      <c r="B133" s="8678"/>
      <c r="C133" s="2069"/>
      <c r="D133" s="2057"/>
      <c r="E133" s="2074"/>
      <c r="F133" s="2011"/>
      <c r="G133" s="2075"/>
      <c r="H133" s="2057"/>
      <c r="I133" s="2057"/>
      <c r="J133" s="2079"/>
      <c r="K133" s="2075"/>
      <c r="L133" s="2264" t="s">
        <v>100</v>
      </c>
      <c r="M133" s="2264" t="s">
        <v>147</v>
      </c>
      <c r="N133" s="2669" t="str">
        <f>IF(Z133="","",INDEX(TERRITORY_MR_LIST,MATCH(Z133,TERRITORY_LIST_ID,0)))</f>
        <v>Территория 12</v>
      </c>
      <c r="O133" s="2326" t="s">
        <v>63</v>
      </c>
      <c r="P133" s="2264"/>
      <c r="Q133" s="2264" t="s">
        <v>168</v>
      </c>
      <c r="R133" s="2650" t="s">
        <v>346</v>
      </c>
      <c r="S133" s="2524" t="s">
        <v>53</v>
      </c>
      <c r="T133" s="2029"/>
      <c r="U133" s="2029" t="s">
        <v>168</v>
      </c>
      <c r="V133" s="1661"/>
      <c r="W133" s="2671"/>
      <c r="X133" s="8678"/>
      <c r="Y133" s="1494"/>
      <c r="Z133" s="1494" t="s">
        <v>148</v>
      </c>
      <c r="AA133" s="1494"/>
      <c r="AB133" s="1494"/>
      <c r="AC133" s="8692" t="s">
        <v>301</v>
      </c>
      <c r="AD133" s="8692" t="s">
        <v>302</v>
      </c>
      <c r="AE133" s="1494" t="s">
        <v>347</v>
      </c>
      <c r="AF133" s="1494" t="s">
        <v>348</v>
      </c>
      <c r="AG133" s="1494" t="s">
        <v>349</v>
      </c>
      <c r="AH133" s="1494" t="str">
        <f>IF($E$100=0,"",$E$100)</f>
        <v>Тариф на горячую воду (горячее водоснабжение)</v>
      </c>
      <c r="AI133" s="1494" t="str">
        <f>IF($G$100=0,"",$G$100)</f>
        <v>Горячее водоснабжение</v>
      </c>
      <c r="AJ133" s="1494" t="str">
        <f>IF($J$100=0,"",$J$100)</f>
        <v>Горячее водоснажение (закрытая система)</v>
      </c>
      <c r="AK133" s="1494" t="str">
        <f>IF($K$133="нет","без дифференциации",IF($N$133=0,"",$N$133))</f>
        <v>Территория 12</v>
      </c>
      <c r="AL133" s="2071" t="str">
        <f>IF($O$133="нет","без дифференциации",IF($R$133=0,"",$R$133))</f>
        <v>г. Спасск-Дальний</v>
      </c>
      <c r="AM133" s="2071"/>
      <c r="AN133" s="1494">
        <f>$I$100</f>
        <v>1</v>
      </c>
      <c r="AO133" s="1494" t="str">
        <f>$I$100&amp;"."&amp;$M$133</f>
        <v>1.12</v>
      </c>
      <c r="AP133" s="1494" t="str">
        <f>$I$100&amp;"."&amp;$M$133&amp;"."&amp;$Q$133</f>
        <v>1.12.1</v>
      </c>
      <c r="AQ133" s="1494"/>
    </row>
    <row customHeight="1" ht="17.25">
      <c r="A134" s="2067"/>
      <c r="B134" s="8678"/>
      <c r="C134" s="2072"/>
      <c r="D134" s="2057"/>
      <c r="E134" s="2074"/>
      <c r="F134" s="2011"/>
      <c r="G134" s="2075"/>
      <c r="H134" s="2057"/>
      <c r="I134" s="2057"/>
      <c r="J134" s="2079"/>
      <c r="K134" s="2075"/>
      <c r="L134" s="2264"/>
      <c r="M134" s="2264"/>
      <c r="N134" s="2669"/>
      <c r="O134" s="2327"/>
      <c r="P134" s="2264"/>
      <c r="Q134" s="2264"/>
      <c r="R134" s="2650"/>
      <c r="S134" s="2524"/>
      <c r="T134" s="1662"/>
      <c r="U134" s="1663"/>
      <c r="V134" s="1663"/>
      <c r="W134" s="2671"/>
      <c r="X134" s="8678"/>
      <c r="Y134" s="1486"/>
      <c r="Z134" s="1486"/>
      <c r="AA134" s="1486"/>
      <c r="AB134" s="1486"/>
      <c r="AC134" s="1486"/>
      <c r="AD134" s="1486"/>
      <c r="AE134" s="1486"/>
      <c r="AF134" s="1486"/>
      <c r="AG134" s="1486"/>
      <c r="AH134" s="1486"/>
      <c r="AI134" s="1486"/>
      <c r="AJ134" s="1486"/>
      <c r="AK134" s="1486"/>
      <c r="AL134" s="8678"/>
      <c r="AM134" s="8678"/>
      <c r="AN134" s="8678"/>
      <c r="AO134" s="8678"/>
      <c r="AP134" s="8678"/>
      <c r="AQ134" s="8678"/>
    </row>
    <row customHeight="1" ht="17.25">
      <c r="A135" s="2067"/>
      <c r="B135" s="8678"/>
      <c r="C135" s="2072"/>
      <c r="D135" s="2057"/>
      <c r="E135" s="2074"/>
      <c r="F135" s="2011"/>
      <c r="G135" s="2075"/>
      <c r="H135" s="2057"/>
      <c r="I135" s="2057"/>
      <c r="J135" s="2079"/>
      <c r="K135" s="2075"/>
      <c r="L135" s="2646"/>
      <c r="M135" s="2646"/>
      <c r="N135" s="2670"/>
      <c r="O135" s="2268"/>
      <c r="P135" s="539"/>
      <c r="Q135" s="540"/>
      <c r="R135" s="540" t="s">
        <v>305</v>
      </c>
      <c r="S135" s="2073"/>
      <c r="T135" s="2073"/>
      <c r="U135" s="2073"/>
      <c r="V135" s="2073"/>
      <c r="W135" s="1660"/>
      <c r="X135" s="8678"/>
      <c r="Y135" s="1486"/>
      <c r="Z135" s="1486"/>
      <c r="AA135" s="1486"/>
      <c r="AB135" s="1486"/>
      <c r="AC135" s="1486"/>
      <c r="AD135" s="1486"/>
      <c r="AE135" s="1486"/>
      <c r="AF135" s="1486"/>
      <c r="AG135" s="1486"/>
      <c r="AH135" s="1486"/>
      <c r="AI135" s="1486"/>
      <c r="AJ135" s="1486"/>
      <c r="AK135" s="1486"/>
      <c r="AL135" s="8678"/>
      <c r="AM135" s="8678"/>
      <c r="AN135" s="8678"/>
      <c r="AO135" s="8678"/>
      <c r="AP135" s="8678"/>
      <c r="AQ135" s="8678"/>
    </row>
    <row customHeight="1" ht="17.25">
      <c r="A136" s="2067"/>
      <c r="B136" s="8678"/>
      <c r="C136" s="2069"/>
      <c r="D136" s="2057"/>
      <c r="E136" s="2074"/>
      <c r="F136" s="2011"/>
      <c r="G136" s="2075"/>
      <c r="H136" s="2057"/>
      <c r="I136" s="2057"/>
      <c r="J136" s="2079"/>
      <c r="K136" s="2075"/>
      <c r="L136" s="2264" t="s">
        <v>100</v>
      </c>
      <c r="M136" s="2264" t="s">
        <v>151</v>
      </c>
      <c r="N136" s="2669" t="str">
        <f>IF(Z136="","",INDEX(TERRITORY_MR_LIST,MATCH(Z136,TERRITORY_LIST_ID,0)))</f>
        <v>Территория 13</v>
      </c>
      <c r="O136" s="2326" t="s">
        <v>63</v>
      </c>
      <c r="P136" s="2264"/>
      <c r="Q136" s="2264" t="s">
        <v>168</v>
      </c>
      <c r="R136" s="2650" t="s">
        <v>350</v>
      </c>
      <c r="S136" s="2524" t="s">
        <v>53</v>
      </c>
      <c r="T136" s="2029"/>
      <c r="U136" s="2029" t="s">
        <v>168</v>
      </c>
      <c r="V136" s="1661"/>
      <c r="W136" s="2671"/>
      <c r="X136" s="8678"/>
      <c r="Y136" s="1494"/>
      <c r="Z136" s="1494" t="s">
        <v>152</v>
      </c>
      <c r="AA136" s="1494"/>
      <c r="AB136" s="1494"/>
      <c r="AC136" s="8692" t="s">
        <v>301</v>
      </c>
      <c r="AD136" s="8692" t="s">
        <v>302</v>
      </c>
      <c r="AE136" s="1494" t="s">
        <v>351</v>
      </c>
      <c r="AF136" s="1494" t="s">
        <v>352</v>
      </c>
      <c r="AG136" s="1494" t="s">
        <v>353</v>
      </c>
      <c r="AH136" s="1494" t="str">
        <f>IF($E$100=0,"",$E$100)</f>
        <v>Тариф на горячую воду (горячее водоснабжение)</v>
      </c>
      <c r="AI136" s="1494" t="str">
        <f>IF($G$100=0,"",$G$100)</f>
        <v>Горячее водоснабжение</v>
      </c>
      <c r="AJ136" s="1494" t="str">
        <f>IF($J$100=0,"",$J$100)</f>
        <v>Горячее водоснажение (закрытая система)</v>
      </c>
      <c r="AK136" s="1494" t="str">
        <f>IF($K$136="нет","без дифференциации",IF($N$136=0,"",$N$136))</f>
        <v>Территория 13</v>
      </c>
      <c r="AL136" s="2071" t="str">
        <f>IF($O$136="нет","без дифференциации",IF($R$136=0,"",$R$136))</f>
        <v>с. Майское</v>
      </c>
      <c r="AM136" s="2071"/>
      <c r="AN136" s="1494">
        <f>$I$100</f>
        <v>1</v>
      </c>
      <c r="AO136" s="1494" t="str">
        <f>$I$100&amp;"."&amp;$M$136</f>
        <v>1.13</v>
      </c>
      <c r="AP136" s="1494" t="str">
        <f>$I$100&amp;"."&amp;$M$136&amp;"."&amp;$Q$136</f>
        <v>1.13.1</v>
      </c>
      <c r="AQ136" s="1494"/>
    </row>
    <row customHeight="1" ht="17.25">
      <c r="A137" s="2067"/>
      <c r="B137" s="8678"/>
      <c r="C137" s="2072"/>
      <c r="D137" s="2057"/>
      <c r="E137" s="2074"/>
      <c r="F137" s="2011"/>
      <c r="G137" s="2075"/>
      <c r="H137" s="2057"/>
      <c r="I137" s="2057"/>
      <c r="J137" s="2079"/>
      <c r="K137" s="2075"/>
      <c r="L137" s="2264"/>
      <c r="M137" s="2264"/>
      <c r="N137" s="2669"/>
      <c r="O137" s="2327"/>
      <c r="P137" s="2264"/>
      <c r="Q137" s="2264"/>
      <c r="R137" s="2650"/>
      <c r="S137" s="2524"/>
      <c r="T137" s="1662"/>
      <c r="U137" s="1663"/>
      <c r="V137" s="1663"/>
      <c r="W137" s="2671"/>
      <c r="X137" s="8678"/>
      <c r="Y137" s="1486"/>
      <c r="Z137" s="1486"/>
      <c r="AA137" s="1486"/>
      <c r="AB137" s="1486"/>
      <c r="AC137" s="1486"/>
      <c r="AD137" s="1486"/>
      <c r="AE137" s="1486"/>
      <c r="AF137" s="1486"/>
      <c r="AG137" s="1486"/>
      <c r="AH137" s="1486"/>
      <c r="AI137" s="1486"/>
      <c r="AJ137" s="1486"/>
      <c r="AK137" s="1486"/>
      <c r="AL137" s="8678"/>
      <c r="AM137" s="8678"/>
      <c r="AN137" s="8678"/>
      <c r="AO137" s="8678"/>
      <c r="AP137" s="8678"/>
      <c r="AQ137" s="8678"/>
    </row>
    <row customHeight="1" ht="17.25">
      <c r="A138" s="2067"/>
      <c r="B138" s="8678"/>
      <c r="C138" s="2072"/>
      <c r="D138" s="2057"/>
      <c r="E138" s="2074"/>
      <c r="F138" s="2011"/>
      <c r="G138" s="2075"/>
      <c r="H138" s="2057"/>
      <c r="I138" s="2057"/>
      <c r="J138" s="2079"/>
      <c r="K138" s="2075"/>
      <c r="L138" s="2646"/>
      <c r="M138" s="2646"/>
      <c r="N138" s="2670"/>
      <c r="O138" s="2268"/>
      <c r="P138" s="539"/>
      <c r="Q138" s="540"/>
      <c r="R138" s="540" t="s">
        <v>305</v>
      </c>
      <c r="S138" s="2073"/>
      <c r="T138" s="2073"/>
      <c r="U138" s="2073"/>
      <c r="V138" s="2073"/>
      <c r="W138" s="1660"/>
      <c r="X138" s="8678"/>
      <c r="Y138" s="1486"/>
      <c r="Z138" s="1486"/>
      <c r="AA138" s="1486"/>
      <c r="AB138" s="1486"/>
      <c r="AC138" s="1486"/>
      <c r="AD138" s="1486"/>
      <c r="AE138" s="1486"/>
      <c r="AF138" s="1486"/>
      <c r="AG138" s="1486"/>
      <c r="AH138" s="1486"/>
      <c r="AI138" s="1486"/>
      <c r="AJ138" s="1486"/>
      <c r="AK138" s="1486"/>
      <c r="AL138" s="8678"/>
      <c r="AM138" s="8678"/>
      <c r="AN138" s="8678"/>
      <c r="AO138" s="8678"/>
      <c r="AP138" s="8678"/>
      <c r="AQ138" s="8678"/>
    </row>
    <row customHeight="1" ht="17.25">
      <c r="A139" s="2067"/>
      <c r="B139" s="8678"/>
      <c r="C139" s="2069"/>
      <c r="D139" s="2057"/>
      <c r="E139" s="2074"/>
      <c r="F139" s="2011"/>
      <c r="G139" s="2075"/>
      <c r="H139" s="2057"/>
      <c r="I139" s="2057"/>
      <c r="J139" s="2079"/>
      <c r="K139" s="2075"/>
      <c r="L139" s="2264" t="s">
        <v>100</v>
      </c>
      <c r="M139" s="2264" t="s">
        <v>156</v>
      </c>
      <c r="N139" s="2669" t="str">
        <f>IF(Z139="","",INDEX(TERRITORY_MR_LIST,MATCH(Z139,TERRITORY_LIST_ID,0)))</f>
        <v>Территория 14</v>
      </c>
      <c r="O139" s="2326" t="s">
        <v>63</v>
      </c>
      <c r="P139" s="2264"/>
      <c r="Q139" s="2264" t="s">
        <v>168</v>
      </c>
      <c r="R139" s="2650" t="s">
        <v>354</v>
      </c>
      <c r="S139" s="2524" t="s">
        <v>53</v>
      </c>
      <c r="T139" s="2029"/>
      <c r="U139" s="2029" t="s">
        <v>168</v>
      </c>
      <c r="V139" s="1661"/>
      <c r="W139" s="2671"/>
      <c r="X139" s="8678"/>
      <c r="Y139" s="1494"/>
      <c r="Z139" s="1494" t="s">
        <v>157</v>
      </c>
      <c r="AA139" s="1494"/>
      <c r="AB139" s="1494"/>
      <c r="AC139" s="8692" t="s">
        <v>301</v>
      </c>
      <c r="AD139" s="8692" t="s">
        <v>302</v>
      </c>
      <c r="AE139" s="1494" t="s">
        <v>355</v>
      </c>
      <c r="AF139" s="1494" t="s">
        <v>356</v>
      </c>
      <c r="AG139" s="1494" t="s">
        <v>357</v>
      </c>
      <c r="AH139" s="1494" t="str">
        <f>IF($E$100=0,"",$E$100)</f>
        <v>Тариф на горячую воду (горячее водоснабжение)</v>
      </c>
      <c r="AI139" s="1494" t="str">
        <f>IF($G$100=0,"",$G$100)</f>
        <v>Горячее водоснабжение</v>
      </c>
      <c r="AJ139" s="1494" t="str">
        <f>IF($J$100=0,"",$J$100)</f>
        <v>Горячее водоснажение (закрытая система)</v>
      </c>
      <c r="AK139" s="1494" t="str">
        <f>IF($K$139="нет","без дифференциации",IF($N$139=0,"",$N$139))</f>
        <v>Территория 14</v>
      </c>
      <c r="AL139" s="2071" t="str">
        <f>IF($O$139="нет","без дифференциации",IF($R$139=0,"",$R$139))</f>
        <v>пгт. Сибирцево</v>
      </c>
      <c r="AM139" s="2071"/>
      <c r="AN139" s="1494">
        <f>$I$100</f>
        <v>1</v>
      </c>
      <c r="AO139" s="1494" t="str">
        <f>$I$100&amp;"."&amp;$M$139</f>
        <v>1.14</v>
      </c>
      <c r="AP139" s="1494" t="str">
        <f>$I$100&amp;"."&amp;$M$139&amp;"."&amp;$Q$139</f>
        <v>1.14.1</v>
      </c>
      <c r="AQ139" s="1494"/>
    </row>
    <row customHeight="1" ht="17.25">
      <c r="A140" s="2067"/>
      <c r="B140" s="8678"/>
      <c r="C140" s="2072"/>
      <c r="D140" s="2057"/>
      <c r="E140" s="2074"/>
      <c r="F140" s="2011"/>
      <c r="G140" s="2075"/>
      <c r="H140" s="2057"/>
      <c r="I140" s="2057"/>
      <c r="J140" s="2079"/>
      <c r="K140" s="2075"/>
      <c r="L140" s="2264"/>
      <c r="M140" s="2264"/>
      <c r="N140" s="2669"/>
      <c r="O140" s="2327"/>
      <c r="P140" s="2264"/>
      <c r="Q140" s="2264"/>
      <c r="R140" s="2650"/>
      <c r="S140" s="2524"/>
      <c r="T140" s="1662"/>
      <c r="U140" s="1663"/>
      <c r="V140" s="1663"/>
      <c r="W140" s="2671"/>
      <c r="X140" s="8678"/>
      <c r="Y140" s="1486"/>
      <c r="Z140" s="1486"/>
      <c r="AA140" s="1486"/>
      <c r="AB140" s="1486"/>
      <c r="AC140" s="1486"/>
      <c r="AD140" s="1486"/>
      <c r="AE140" s="1486"/>
      <c r="AF140" s="1486"/>
      <c r="AG140" s="1486"/>
      <c r="AH140" s="1486"/>
      <c r="AI140" s="1486"/>
      <c r="AJ140" s="1486"/>
      <c r="AK140" s="1486"/>
      <c r="AL140" s="8678"/>
      <c r="AM140" s="8678"/>
      <c r="AN140" s="8678"/>
      <c r="AO140" s="8678"/>
      <c r="AP140" s="8678"/>
      <c r="AQ140" s="8678"/>
    </row>
    <row customHeight="1" ht="17.25">
      <c r="A141" s="2067"/>
      <c r="B141" s="8678"/>
      <c r="C141" s="2072"/>
      <c r="D141" s="2057"/>
      <c r="E141" s="2074"/>
      <c r="F141" s="2011"/>
      <c r="G141" s="2075"/>
      <c r="H141" s="2057"/>
      <c r="I141" s="2057"/>
      <c r="J141" s="2079"/>
      <c r="K141" s="2075"/>
      <c r="L141" s="2646"/>
      <c r="M141" s="2646"/>
      <c r="N141" s="2670"/>
      <c r="O141" s="2268"/>
      <c r="P141" s="539"/>
      <c r="Q141" s="540"/>
      <c r="R141" s="540" t="s">
        <v>305</v>
      </c>
      <c r="S141" s="2073"/>
      <c r="T141" s="2073"/>
      <c r="U141" s="2073"/>
      <c r="V141" s="2073"/>
      <c r="W141" s="1660"/>
      <c r="X141" s="8678"/>
      <c r="Y141" s="1486"/>
      <c r="Z141" s="1486"/>
      <c r="AA141" s="1486"/>
      <c r="AB141" s="1486"/>
      <c r="AC141" s="1486"/>
      <c r="AD141" s="1486"/>
      <c r="AE141" s="1486"/>
      <c r="AF141" s="1486"/>
      <c r="AG141" s="1486"/>
      <c r="AH141" s="1486"/>
      <c r="AI141" s="1486"/>
      <c r="AJ141" s="1486"/>
      <c r="AK141" s="1486"/>
      <c r="AL141" s="8678"/>
      <c r="AM141" s="8678"/>
      <c r="AN141" s="8678"/>
      <c r="AO141" s="8678"/>
      <c r="AP141" s="8678"/>
      <c r="AQ141" s="8678"/>
    </row>
    <row s="16044" customFormat="1" customHeight="1" ht="17.25">
      <c r="A142" s="543"/>
      <c r="C142" s="542"/>
      <c r="D142" s="2277"/>
      <c r="E142" s="2279"/>
      <c r="F142" s="2282"/>
      <c r="G142" s="5631"/>
      <c r="H142" s="5643"/>
      <c r="I142" s="5643"/>
      <c r="J142" s="5644"/>
      <c r="K142" s="5646"/>
      <c r="L142" s="5655"/>
      <c r="M142" s="5656"/>
      <c r="N142" s="5657" t="s">
        <v>358</v>
      </c>
      <c r="O142" s="5658"/>
      <c r="P142" s="5659"/>
      <c r="Q142" s="5660"/>
      <c r="R142" s="5661"/>
      <c r="S142" s="5662"/>
      <c r="T142" s="5663"/>
      <c r="U142" s="5664"/>
      <c r="V142" s="5665"/>
      <c r="W142" s="5666"/>
      <c r="Y142" s="1486"/>
      <c r="Z142" s="1486"/>
      <c r="AA142" s="1486"/>
      <c r="AB142" s="1486"/>
      <c r="AC142" s="1486"/>
      <c r="AD142" s="1486"/>
      <c r="AE142" s="1486"/>
      <c r="AF142" s="1486"/>
      <c r="AG142" s="1486"/>
      <c r="AH142" s="1486"/>
      <c r="AI142" s="1486"/>
      <c r="AJ142" s="1486"/>
      <c r="AK142" s="1486"/>
      <c r="AL142" s="1486"/>
      <c r="AM142" s="1486"/>
      <c r="AN142" s="1486"/>
      <c r="AO142" s="1486"/>
      <c r="AP142" s="1486"/>
      <c r="AQ142" s="1486"/>
    </row>
    <row s="16044" customFormat="1" customHeight="1" ht="17.25">
      <c r="A143" s="543"/>
      <c r="C143" s="542"/>
      <c r="D143" s="2278"/>
      <c r="E143" s="2280"/>
      <c r="F143" s="2283"/>
      <c r="G143" s="5667"/>
      <c r="H143" s="5668"/>
      <c r="I143" s="5669"/>
      <c r="J143" s="5670" t="s">
        <v>359</v>
      </c>
      <c r="K143" s="5671"/>
      <c r="L143" s="5672"/>
      <c r="M143" s="5673"/>
      <c r="N143" s="5674"/>
      <c r="O143" s="5675"/>
      <c r="P143" s="5676"/>
      <c r="Q143" s="5677"/>
      <c r="R143" s="5678"/>
      <c r="S143" s="5679"/>
      <c r="T143" s="5680"/>
      <c r="U143" s="5681"/>
      <c r="V143" s="5682"/>
      <c r="W143" s="5683"/>
      <c r="Y143" s="1486"/>
      <c r="Z143" s="1486"/>
      <c r="AA143" s="1486"/>
      <c r="AB143" s="1486"/>
      <c r="AC143" s="1486"/>
      <c r="AD143" s="1486"/>
      <c r="AE143" s="1486"/>
      <c r="AF143" s="1486"/>
      <c r="AG143" s="1486"/>
      <c r="AH143" s="1486"/>
      <c r="AI143" s="1486"/>
      <c r="AJ143" s="1486"/>
      <c r="AK143" s="1486"/>
      <c r="AL143" s="1486"/>
      <c r="AM143" s="1486"/>
      <c r="AN143" s="1486"/>
      <c r="AO143" s="1486"/>
      <c r="AP143" s="1486"/>
      <c r="AQ143" s="1486"/>
    </row>
    <row s="16044" customFormat="1" customHeight="1" ht="17.25">
      <c r="A144" s="543"/>
      <c r="C144" s="431"/>
      <c r="D144" s="2277">
        <v>2</v>
      </c>
      <c r="E144" s="2279" t="s">
        <v>360</v>
      </c>
      <c r="F144" s="2281" t="s">
        <v>53</v>
      </c>
      <c r="G144" s="2279"/>
      <c r="H144" s="2284"/>
      <c r="I144" s="2286"/>
      <c r="J144" s="2288"/>
      <c r="K144" s="2271"/>
      <c r="L144" s="2271"/>
      <c r="M144" s="2271"/>
      <c r="N144" s="2273"/>
      <c r="O144" s="2271"/>
      <c r="P144" s="2271"/>
      <c r="Q144" s="2271"/>
      <c r="R144" s="2276"/>
      <c r="S144" s="2271"/>
      <c r="T144" s="1697"/>
      <c r="U144" s="1697"/>
      <c r="V144" s="1699"/>
      <c r="W144" s="1523"/>
      <c r="X144" s="1494"/>
      <c r="Y144" s="1494"/>
      <c r="Z144" s="1494"/>
      <c r="AA144" s="1494"/>
      <c r="AB144" s="1494"/>
      <c r="AC144" s="1494" t="s">
        <v>361</v>
      </c>
      <c r="AD144" s="1494" t="s">
        <v>362</v>
      </c>
      <c r="AE144" s="1494" t="s">
        <v>363</v>
      </c>
      <c r="AF144" s="1494" t="s">
        <v>364</v>
      </c>
      <c r="AG144" s="1494"/>
      <c r="AH144" s="1494" t="str">
        <f>IF($E$144=0,"",$E$144)</f>
        <v>Тариф на транспортировку горячей воды</v>
      </c>
      <c r="AI144" s="1494" t="str">
        <f>IF($G$144=0,"",$G$144)</f>
        <v/>
      </c>
      <c r="AJ144" s="1494" t="str">
        <f>IF($J$144=0,"",$J$144)</f>
        <v/>
      </c>
      <c r="AK144" s="1494" t="str">
        <f>IF($K$144="нет","без дифференциации",IF($N$144=0,"",$N$144))</f>
        <v/>
      </c>
      <c r="AL144" s="1494" t="str">
        <f>IF($O$144="нет","без дифференциации",IF($R$144=0,"",$R$144))</f>
        <v/>
      </c>
      <c r="AM144" s="1494" t="str">
        <f>IF($S$144="нет","без дифференциации",IF($V$144=0,"",$V$144))</f>
        <v/>
      </c>
      <c r="AN144" s="1999">
        <f>$I$144</f>
        <v>0</v>
      </c>
      <c r="AO144" s="1494" t="str">
        <f>$I$144&amp;"."&amp;$M$144</f>
        <v>.</v>
      </c>
      <c r="AP144" s="1486" t="str">
        <f>$I$144&amp;"."&amp;$M$144&amp;"."&amp;$Q$144</f>
        <v>..</v>
      </c>
      <c r="AQ144" s="1486" t="str">
        <f>$I$144&amp;"."&amp;$M$144&amp;"."&amp;$Q$144&amp;"."&amp;$U$144</f>
        <v>...</v>
      </c>
    </row>
    <row s="16044" customFormat="1" customHeight="1" ht="17.25">
      <c r="A145" s="543"/>
      <c r="C145" s="542"/>
      <c r="D145" s="2277"/>
      <c r="E145" s="2279"/>
      <c r="F145" s="2282"/>
      <c r="G145" s="2279"/>
      <c r="H145" s="2285"/>
      <c r="I145" s="2287"/>
      <c r="J145" s="2289"/>
      <c r="K145" s="2272"/>
      <c r="L145" s="2272"/>
      <c r="M145" s="2272"/>
      <c r="N145" s="2274"/>
      <c r="O145" s="2272"/>
      <c r="P145" s="2272"/>
      <c r="Q145" s="2272"/>
      <c r="R145" s="2275"/>
      <c r="S145" s="2272"/>
      <c r="T145" s="1524"/>
      <c r="U145" s="1524"/>
      <c r="V145" s="1524"/>
      <c r="W145" s="1525"/>
      <c r="X145" s="1486"/>
      <c r="Y145" s="1486"/>
      <c r="Z145" s="1486"/>
      <c r="AA145" s="1486"/>
      <c r="AB145" s="1486"/>
      <c r="AC145" s="1486"/>
      <c r="AD145" s="1486"/>
      <c r="AE145" s="1486"/>
      <c r="AF145" s="1486"/>
      <c r="AG145" s="1486"/>
      <c r="AH145" s="1486"/>
      <c r="AI145" s="1486"/>
      <c r="AJ145" s="1486"/>
      <c r="AK145" s="1486"/>
      <c r="AL145" s="1486"/>
      <c r="AM145" s="1486"/>
      <c r="AN145" s="1486"/>
      <c r="AO145" s="1486"/>
      <c r="AP145" s="1486"/>
      <c r="AQ145" s="1486"/>
    </row>
    <row s="16044" customFormat="1" customHeight="1" ht="17.25">
      <c r="A146" s="543"/>
      <c r="C146" s="542"/>
      <c r="D146" s="2278"/>
      <c r="E146" s="2280"/>
      <c r="F146" s="2282"/>
      <c r="G146" s="2280"/>
      <c r="H146" s="2285"/>
      <c r="I146" s="2287"/>
      <c r="J146" s="2290"/>
      <c r="K146" s="2272"/>
      <c r="L146" s="2272"/>
      <c r="M146" s="2272"/>
      <c r="N146" s="2275"/>
      <c r="O146" s="2272"/>
      <c r="P146" s="1698"/>
      <c r="Q146" s="1524"/>
      <c r="R146" s="1524"/>
      <c r="S146" s="551"/>
      <c r="T146" s="551"/>
      <c r="U146" s="551"/>
      <c r="V146" s="551"/>
      <c r="W146" s="1525"/>
      <c r="X146" s="1486"/>
      <c r="Y146" s="1486"/>
      <c r="Z146" s="1486"/>
      <c r="AA146" s="1486"/>
      <c r="AB146" s="1486"/>
      <c r="AC146" s="1486"/>
      <c r="AD146" s="1486"/>
      <c r="AE146" s="1486"/>
      <c r="AF146" s="1486"/>
      <c r="AG146" s="1486"/>
      <c r="AH146" s="1486"/>
      <c r="AI146" s="1486"/>
      <c r="AJ146" s="1486"/>
      <c r="AK146" s="1486"/>
      <c r="AL146" s="1486"/>
      <c r="AM146" s="1486"/>
      <c r="AN146" s="1486"/>
      <c r="AO146" s="1486"/>
      <c r="AP146" s="1486"/>
      <c r="AQ146" s="1486"/>
    </row>
    <row s="16044" customFormat="1" customHeight="1" ht="17.25">
      <c r="A147" s="543"/>
      <c r="C147" s="542"/>
      <c r="D147" s="2278"/>
      <c r="E147" s="2280"/>
      <c r="F147" s="2282"/>
      <c r="G147" s="2280"/>
      <c r="H147" s="2285"/>
      <c r="I147" s="2287"/>
      <c r="J147" s="2290"/>
      <c r="K147" s="2272"/>
      <c r="L147" s="1524"/>
      <c r="M147" s="1524"/>
      <c r="N147" s="1524"/>
      <c r="O147" s="1524"/>
      <c r="P147" s="1524"/>
      <c r="Q147" s="1524"/>
      <c r="R147" s="1524"/>
      <c r="S147" s="551"/>
      <c r="T147" s="551"/>
      <c r="U147" s="551"/>
      <c r="V147" s="551"/>
      <c r="W147" s="1525"/>
      <c r="X147" s="1486"/>
      <c r="Y147" s="1486"/>
      <c r="Z147" s="1486"/>
      <c r="AA147" s="1486"/>
      <c r="AB147" s="1486"/>
      <c r="AC147" s="1486"/>
      <c r="AD147" s="1486"/>
      <c r="AE147" s="1486"/>
      <c r="AF147" s="1486"/>
      <c r="AG147" s="1486"/>
      <c r="AH147" s="1486"/>
      <c r="AI147" s="1486"/>
      <c r="AJ147" s="1486"/>
      <c r="AK147" s="1486"/>
      <c r="AL147" s="1486"/>
      <c r="AM147" s="1486"/>
      <c r="AN147" s="1486"/>
      <c r="AO147" s="1486"/>
      <c r="AP147" s="1486"/>
      <c r="AQ147" s="1486"/>
    </row>
    <row s="16044" customFormat="1" customHeight="1" ht="17.25">
      <c r="A148" s="543"/>
      <c r="C148" s="542"/>
      <c r="D148" s="2278"/>
      <c r="E148" s="2280"/>
      <c r="F148" s="2283"/>
      <c r="G148" s="2280"/>
      <c r="H148" s="1526"/>
      <c r="I148" s="1527"/>
      <c r="J148" s="1527"/>
      <c r="K148" s="1527"/>
      <c r="L148" s="1527"/>
      <c r="M148" s="1527"/>
      <c r="N148" s="1527"/>
      <c r="O148" s="1527"/>
      <c r="P148" s="1527"/>
      <c r="Q148" s="1527"/>
      <c r="R148" s="1527"/>
      <c r="S148" s="1528"/>
      <c r="T148" s="1528"/>
      <c r="U148" s="1528"/>
      <c r="V148" s="1528"/>
      <c r="W148" s="1529"/>
      <c r="X148" s="1486"/>
      <c r="Y148" s="1486"/>
      <c r="Z148" s="1486"/>
      <c r="AA148" s="1486"/>
      <c r="AB148" s="1486"/>
      <c r="AC148" s="1486"/>
      <c r="AD148" s="1486"/>
      <c r="AE148" s="1486"/>
      <c r="AF148" s="1486"/>
      <c r="AG148" s="1486"/>
      <c r="AH148" s="1486"/>
      <c r="AI148" s="1486"/>
      <c r="AJ148" s="1486"/>
      <c r="AK148" s="1486"/>
      <c r="AL148" s="1486"/>
      <c r="AM148" s="1486"/>
      <c r="AN148" s="1486"/>
      <c r="AO148" s="1486"/>
      <c r="AP148" s="1486"/>
      <c r="AQ148" s="1486"/>
    </row>
    <row s="16044" customFormat="1" customHeight="1" ht="17.25">
      <c r="A149" s="543"/>
      <c r="C149" s="431"/>
      <c r="D149" s="2277">
        <v>3</v>
      </c>
      <c r="E149" s="2279" t="s">
        <v>365</v>
      </c>
      <c r="F149" s="2281" t="s">
        <v>53</v>
      </c>
      <c r="G149" s="5684" t="s">
        <v>24</v>
      </c>
      <c r="H149" s="5685"/>
      <c r="I149" s="5686"/>
      <c r="J149" s="5687"/>
      <c r="K149" s="5688"/>
      <c r="L149" s="5688"/>
      <c r="M149" s="5688"/>
      <c r="N149" s="5689"/>
      <c r="O149" s="5688"/>
      <c r="P149" s="5688"/>
      <c r="Q149" s="5688"/>
      <c r="R149" s="5690"/>
      <c r="S149" s="5688"/>
      <c r="T149" s="5688"/>
      <c r="U149" s="5688"/>
      <c r="V149" s="5690"/>
      <c r="W149" s="5691"/>
      <c r="X149" s="1494"/>
      <c r="Y149" s="1494"/>
      <c r="Z149" s="1494" t="s">
        <v>94</v>
      </c>
      <c r="AA149" s="1494"/>
      <c r="AB149" s="1494"/>
      <c r="AC149" s="1494" t="s">
        <v>366</v>
      </c>
      <c r="AD149" s="1494" t="s">
        <v>367</v>
      </c>
      <c r="AE149" s="1494" t="s">
        <v>368</v>
      </c>
      <c r="AF149" s="1494" t="s">
        <v>369</v>
      </c>
      <c r="AG149" s="1494"/>
      <c r="AH149" s="1494" t="str">
        <f>IF($E$149=0,"",$E$149)</f>
        <v>Тариф на подключение (технологическое присоединение) к централизованной системе горячего водоснабжения</v>
      </c>
      <c r="AI149" s="1494" t="str">
        <f>IF($G$149=0,"",$G$149)</f>
        <v/>
      </c>
      <c r="AJ149" s="1494" t="str">
        <f>IF($J$149=0,"",$J$149)</f>
        <v/>
      </c>
      <c r="AK149" s="1494" t="str">
        <f>IF($K$149="нет","без дифференциации",IF($N$149=0,"",$N$149))</f>
        <v/>
      </c>
      <c r="AL149" s="1494" t="str">
        <f>IF($O$149="нет","без дифференциации",IF($R$149=0,"",$R$149))</f>
        <v/>
      </c>
      <c r="AM149" s="1494" t="str">
        <f>IF($S$149="нет","без дифференциации",IF($V$149=0,"",$V$149))</f>
        <v/>
      </c>
      <c r="AN149" s="1999">
        <f>$I$149</f>
        <v>0</v>
      </c>
      <c r="AO149" s="1494" t="str">
        <f>$I$149&amp;"."&amp;$M$149</f>
        <v>.</v>
      </c>
      <c r="AP149" s="1493" t="str">
        <f>$I$149&amp;"."&amp;$M$149&amp;"."&amp;$Q$149</f>
        <v>..</v>
      </c>
      <c r="AQ149" s="1493" t="str">
        <f>$I$149&amp;"."&amp;$M$149&amp;"."&amp;$Q$149&amp;"."&amp;$U$149</f>
        <v>...</v>
      </c>
    </row>
    <row s="16044" customFormat="1" customHeight="1" ht="17.25">
      <c r="A150" s="543"/>
      <c r="C150" s="542"/>
      <c r="D150" s="2277"/>
      <c r="E150" s="2279"/>
      <c r="F150" s="2282"/>
      <c r="G150" s="5684" t="s">
        <v>24</v>
      </c>
      <c r="H150" s="5692"/>
      <c r="I150" s="5693"/>
      <c r="J150" s="5694"/>
      <c r="K150" s="5695"/>
      <c r="L150" s="5695"/>
      <c r="M150" s="5695"/>
      <c r="N150" s="5696"/>
      <c r="O150" s="5695"/>
      <c r="P150" s="5695"/>
      <c r="Q150" s="5695"/>
      <c r="R150" s="5697"/>
      <c r="S150" s="5695"/>
      <c r="T150" s="5698"/>
      <c r="U150" s="5698"/>
      <c r="V150" s="5698"/>
      <c r="W150" s="5699"/>
      <c r="X150" s="1493"/>
      <c r="Y150" s="1493"/>
      <c r="Z150" s="1493"/>
      <c r="AA150" s="1493"/>
      <c r="AB150" s="1493"/>
      <c r="AC150" s="1493"/>
      <c r="AD150" s="1493"/>
      <c r="AE150" s="1493"/>
      <c r="AF150" s="1493"/>
      <c r="AG150" s="1493"/>
      <c r="AH150" s="1493"/>
      <c r="AI150" s="1493"/>
      <c r="AJ150" s="1493"/>
      <c r="AK150" s="1493"/>
      <c r="AL150" s="1493"/>
      <c r="AM150" s="1493"/>
      <c r="AN150" s="1493"/>
      <c r="AO150" s="1493"/>
      <c r="AP150" s="1493"/>
      <c r="AQ150" s="1493"/>
    </row>
    <row s="16044" customFormat="1" customHeight="1" ht="17.25">
      <c r="A151" s="543"/>
      <c r="C151" s="542"/>
      <c r="D151" s="2278"/>
      <c r="E151" s="2280"/>
      <c r="F151" s="2282"/>
      <c r="G151" s="5700" t="s">
        <v>24</v>
      </c>
      <c r="H151" s="5692"/>
      <c r="I151" s="5693"/>
      <c r="J151" s="5701"/>
      <c r="K151" s="5695"/>
      <c r="L151" s="5695"/>
      <c r="M151" s="5695"/>
      <c r="N151" s="5697"/>
      <c r="O151" s="5695"/>
      <c r="P151" s="5695"/>
      <c r="Q151" s="5698"/>
      <c r="R151" s="5698"/>
      <c r="S151" s="5702"/>
      <c r="T151" s="5702"/>
      <c r="U151" s="5702"/>
      <c r="V151" s="5702"/>
      <c r="W151" s="5699"/>
      <c r="X151" s="1493"/>
      <c r="Y151" s="1493"/>
      <c r="Z151" s="1493"/>
      <c r="AA151" s="1493"/>
      <c r="AB151" s="1493"/>
      <c r="AC151" s="1493"/>
      <c r="AD151" s="1493"/>
      <c r="AE151" s="1493"/>
      <c r="AF151" s="1493"/>
      <c r="AG151" s="1493"/>
      <c r="AH151" s="1493"/>
      <c r="AI151" s="1493"/>
      <c r="AJ151" s="1493"/>
      <c r="AK151" s="1493"/>
      <c r="AL151" s="1493"/>
      <c r="AM151" s="1493"/>
      <c r="AN151" s="1493"/>
      <c r="AO151" s="1493"/>
      <c r="AP151" s="1493"/>
      <c r="AQ151" s="1493"/>
    </row>
    <row s="16044" customFormat="1" customHeight="1" ht="17.25">
      <c r="A152" s="543"/>
      <c r="C152" s="542"/>
      <c r="D152" s="2278"/>
      <c r="E152" s="2280"/>
      <c r="F152" s="2282"/>
      <c r="G152" s="5700" t="s">
        <v>24</v>
      </c>
      <c r="H152" s="5692"/>
      <c r="I152" s="5693"/>
      <c r="J152" s="5701"/>
      <c r="K152" s="5695"/>
      <c r="L152" s="5698"/>
      <c r="M152" s="5698"/>
      <c r="N152" s="5698"/>
      <c r="O152" s="5698"/>
      <c r="P152" s="5698"/>
      <c r="Q152" s="5698"/>
      <c r="R152" s="5698"/>
      <c r="S152" s="5702"/>
      <c r="T152" s="5702"/>
      <c r="U152" s="5702"/>
      <c r="V152" s="5702"/>
      <c r="W152" s="5699"/>
      <c r="X152" s="1493"/>
      <c r="Y152" s="1493"/>
      <c r="Z152" s="1493"/>
      <c r="AA152" s="1493"/>
      <c r="AB152" s="1493"/>
      <c r="AC152" s="1493"/>
      <c r="AD152" s="1493"/>
      <c r="AE152" s="1493"/>
      <c r="AF152" s="1493"/>
      <c r="AG152" s="1493"/>
      <c r="AH152" s="1493"/>
      <c r="AI152" s="1493"/>
      <c r="AJ152" s="1493"/>
      <c r="AK152" s="1493"/>
      <c r="AL152" s="1493"/>
      <c r="AM152" s="1493"/>
      <c r="AN152" s="1493"/>
      <c r="AO152" s="1493"/>
      <c r="AP152" s="1493"/>
      <c r="AQ152" s="1493"/>
    </row>
    <row s="16044" customFormat="1" customHeight="1" ht="17.25">
      <c r="A153" s="543"/>
      <c r="C153" s="542"/>
      <c r="D153" s="2278"/>
      <c r="E153" s="2280"/>
      <c r="F153" s="2283"/>
      <c r="G153" s="5700" t="s">
        <v>24</v>
      </c>
      <c r="H153" s="5703"/>
      <c r="I153" s="5704"/>
      <c r="J153" s="5704"/>
      <c r="K153" s="5704"/>
      <c r="L153" s="5704"/>
      <c r="M153" s="5704"/>
      <c r="N153" s="5704"/>
      <c r="O153" s="5704"/>
      <c r="P153" s="5704"/>
      <c r="Q153" s="5704"/>
      <c r="R153" s="5704"/>
      <c r="S153" s="5705"/>
      <c r="T153" s="5705"/>
      <c r="U153" s="5705"/>
      <c r="V153" s="5705"/>
      <c r="W153" s="5706"/>
      <c r="X153" s="1493"/>
      <c r="Y153" s="1493"/>
      <c r="Z153" s="1493"/>
      <c r="AA153" s="1493"/>
      <c r="AB153" s="1493"/>
      <c r="AC153" s="1493"/>
      <c r="AD153" s="1493"/>
      <c r="AE153" s="1493"/>
      <c r="AF153" s="1493"/>
      <c r="AG153" s="1493"/>
      <c r="AH153" s="1493"/>
      <c r="AI153" s="1493"/>
      <c r="AJ153" s="1493"/>
      <c r="AK153" s="1493"/>
      <c r="AL153" s="1493"/>
      <c r="AM153" s="1493"/>
      <c r="AN153" s="1493"/>
      <c r="AO153" s="1493"/>
      <c r="AP153" s="1493"/>
      <c r="AQ153" s="1493"/>
    </row>
    <row s="16044" customFormat="1" customHeight="1" ht="11.25" hidden="1">
      <c r="A154" s="499"/>
      <c r="B154" s="499"/>
      <c r="Y154" s="1486"/>
      <c r="Z154" s="1486"/>
      <c r="AA154" s="1486"/>
      <c r="AB154" s="1486"/>
      <c r="AC154" s="1486"/>
      <c r="AD154" s="1486"/>
      <c r="AE154" s="1486"/>
      <c r="AF154" s="1486"/>
      <c r="AG154" s="1486"/>
      <c r="AH154" s="1486"/>
      <c r="AI154" s="1486"/>
      <c r="AJ154" s="1486"/>
      <c r="AK154" s="1486"/>
      <c r="AL154" s="1486"/>
      <c r="AM154" s="1486"/>
      <c r="AN154" s="1486"/>
      <c r="AO154" s="1486"/>
      <c r="AP154" s="1486"/>
      <c r="AQ154" s="1486"/>
    </row>
    <row s="16044" customFormat="1" customHeight="1" ht="17.25" hidden="1">
      <c r="A155" s="543"/>
      <c r="C155" s="431"/>
      <c r="D155" s="2277">
        <v>1</v>
      </c>
      <c r="E155" s="2279" t="s">
        <v>370</v>
      </c>
      <c r="F155" s="2281" t="s">
        <v>53</v>
      </c>
      <c r="G155" s="2279"/>
      <c r="H155" s="2284"/>
      <c r="I155" s="2286"/>
      <c r="J155" s="2288"/>
      <c r="K155" s="2271"/>
      <c r="L155" s="2271"/>
      <c r="M155" s="2271"/>
      <c r="N155" s="2273"/>
      <c r="O155" s="2271"/>
      <c r="P155" s="2271"/>
      <c r="Q155" s="2271"/>
      <c r="R155" s="2276"/>
      <c r="S155" s="2271"/>
      <c r="T155" s="1697"/>
      <c r="U155" s="1697"/>
      <c r="V155" s="1699"/>
      <c r="W155" s="1523"/>
      <c r="Y155" s="1494"/>
      <c r="Z155" s="1494"/>
      <c r="AA155" s="1494"/>
      <c r="AB155" s="1494"/>
      <c r="AC155" s="1494" t="s">
        <v>371</v>
      </c>
      <c r="AD155" s="1494" t="s">
        <v>372</v>
      </c>
      <c r="AE155" s="1494" t="s">
        <v>373</v>
      </c>
      <c r="AF155" s="1494" t="s">
        <v>374</v>
      </c>
      <c r="AG155" s="1494"/>
      <c r="AH155" s="1494" t="str">
        <f>IF($E$155=0,"",$E$155)</f>
        <v>Тариф на водоотведение</v>
      </c>
      <c r="AI155" s="1494" t="str">
        <f>IF($G$155=0,"",$G$155)</f>
        <v/>
      </c>
      <c r="AJ155" s="1494" t="str">
        <f>IF($J$155=0,"",$J$155)</f>
        <v/>
      </c>
      <c r="AK155" s="1494" t="str">
        <f>IF($K$155="нет","без дифференциации",IF($N$155=0,"",$N$155))</f>
        <v/>
      </c>
      <c r="AL155" s="1494" t="str">
        <f>IF($O$155="нет","без дифференциации",IF($R$155=0,"",$R$155))</f>
        <v/>
      </c>
      <c r="AM155" s="1494" t="str">
        <f>IF($S$155="нет","без дифференциации",IF($V$155=0,"",$V$155))</f>
        <v/>
      </c>
      <c r="AN155" s="1494">
        <f>$I$155</f>
        <v>0</v>
      </c>
      <c r="AO155" s="1494" t="str">
        <f>$I$155&amp;"."&amp;$M$155</f>
        <v>.</v>
      </c>
      <c r="AP155" s="1494" t="str">
        <f>$I$155&amp;"."&amp;$M$155&amp;"."&amp;$Q$155</f>
        <v>..</v>
      </c>
      <c r="AQ155" s="1494" t="str">
        <f>$I$155&amp;"."&amp;$M$155&amp;"."&amp;$Q$155&amp;"."&amp;$U$155</f>
        <v>...</v>
      </c>
    </row>
    <row s="16044" customFormat="1" customHeight="1" ht="17.25" hidden="1">
      <c r="A156" s="543"/>
      <c r="C156" s="542"/>
      <c r="D156" s="2277"/>
      <c r="E156" s="2279"/>
      <c r="F156" s="2282"/>
      <c r="G156" s="2279"/>
      <c r="H156" s="2285"/>
      <c r="I156" s="2287"/>
      <c r="J156" s="2289"/>
      <c r="K156" s="2272"/>
      <c r="L156" s="2272"/>
      <c r="M156" s="2272"/>
      <c r="N156" s="2274"/>
      <c r="O156" s="2272"/>
      <c r="P156" s="2272"/>
      <c r="Q156" s="2272"/>
      <c r="R156" s="2275"/>
      <c r="S156" s="2272"/>
      <c r="T156" s="1524"/>
      <c r="U156" s="1524"/>
      <c r="V156" s="1524"/>
      <c r="W156" s="1525"/>
      <c r="Y156" s="1486"/>
      <c r="Z156" s="1486"/>
      <c r="AA156" s="1486"/>
      <c r="AB156" s="1486"/>
      <c r="AC156" s="1486"/>
      <c r="AD156" s="1486"/>
      <c r="AE156" s="1486"/>
      <c r="AF156" s="1486"/>
      <c r="AG156" s="1486"/>
      <c r="AH156" s="1486"/>
      <c r="AI156" s="1486"/>
      <c r="AJ156" s="1486"/>
      <c r="AK156" s="1486"/>
      <c r="AL156" s="1486"/>
      <c r="AM156" s="1486"/>
      <c r="AN156" s="1486"/>
      <c r="AO156" s="1486"/>
      <c r="AP156" s="1486"/>
      <c r="AQ156" s="1486"/>
    </row>
    <row s="16044" customFormat="1" customHeight="1" ht="17.25" hidden="1">
      <c r="A157" s="543"/>
      <c r="C157" s="431"/>
      <c r="D157" s="2277"/>
      <c r="E157" s="2279"/>
      <c r="F157" s="2282"/>
      <c r="G157" s="2279"/>
      <c r="H157" s="2285"/>
      <c r="I157" s="2287"/>
      <c r="J157" s="2290"/>
      <c r="K157" s="2272"/>
      <c r="L157" s="2272"/>
      <c r="M157" s="2272"/>
      <c r="N157" s="2275"/>
      <c r="O157" s="2272"/>
      <c r="P157" s="1698"/>
      <c r="Q157" s="1524"/>
      <c r="R157" s="1524"/>
      <c r="S157" s="551"/>
      <c r="T157" s="551"/>
      <c r="U157" s="551"/>
      <c r="V157" s="551"/>
      <c r="W157" s="1525"/>
      <c r="Y157" s="1494"/>
      <c r="Z157" s="1494"/>
      <c r="AA157" s="1494"/>
      <c r="AB157" s="1494"/>
      <c r="AC157" s="1494"/>
      <c r="AD157" s="1494"/>
      <c r="AE157" s="1494"/>
      <c r="AF157" s="1494"/>
      <c r="AG157" s="1494"/>
      <c r="AH157" s="1494"/>
      <c r="AI157" s="1494"/>
      <c r="AJ157" s="1494"/>
      <c r="AK157" s="1494"/>
      <c r="AL157" s="1494"/>
      <c r="AM157" s="1494"/>
      <c r="AN157" s="1494"/>
      <c r="AO157" s="1494"/>
      <c r="AP157" s="1494"/>
      <c r="AQ157" s="1494"/>
    </row>
    <row s="16044" customFormat="1" customHeight="1" ht="17.25" hidden="1">
      <c r="A158" s="543"/>
      <c r="C158" s="542"/>
      <c r="D158" s="2277"/>
      <c r="E158" s="2279"/>
      <c r="F158" s="2282"/>
      <c r="G158" s="2279"/>
      <c r="H158" s="2285"/>
      <c r="I158" s="2287"/>
      <c r="J158" s="2290"/>
      <c r="K158" s="2272"/>
      <c r="L158" s="1524"/>
      <c r="M158" s="1524"/>
      <c r="N158" s="1524"/>
      <c r="O158" s="1524"/>
      <c r="P158" s="1524"/>
      <c r="Q158" s="1524"/>
      <c r="R158" s="1524"/>
      <c r="S158" s="551"/>
      <c r="T158" s="551"/>
      <c r="U158" s="551"/>
      <c r="V158" s="551"/>
      <c r="W158" s="1525"/>
      <c r="Y158" s="1486"/>
      <c r="Z158" s="1486"/>
      <c r="AA158" s="1486"/>
      <c r="AB158" s="1486"/>
      <c r="AC158" s="1486"/>
      <c r="AD158" s="1486"/>
      <c r="AE158" s="1486"/>
      <c r="AF158" s="1486"/>
      <c r="AG158" s="1486"/>
      <c r="AH158" s="1486"/>
      <c r="AI158" s="1486"/>
      <c r="AJ158" s="1486"/>
      <c r="AK158" s="1486"/>
      <c r="AL158" s="1486"/>
      <c r="AM158" s="1486"/>
      <c r="AN158" s="1486"/>
      <c r="AO158" s="1486"/>
      <c r="AP158" s="1486"/>
      <c r="AQ158" s="1486"/>
    </row>
    <row s="16044" customFormat="1" customHeight="1" ht="17.25" hidden="1">
      <c r="A159" s="543"/>
      <c r="C159" s="542"/>
      <c r="D159" s="2278"/>
      <c r="E159" s="2280"/>
      <c r="F159" s="2283"/>
      <c r="G159" s="2280"/>
      <c r="H159" s="1526"/>
      <c r="I159" s="1527"/>
      <c r="J159" s="1527"/>
      <c r="K159" s="1527"/>
      <c r="L159" s="1527"/>
      <c r="M159" s="1527"/>
      <c r="N159" s="1527"/>
      <c r="O159" s="1527"/>
      <c r="P159" s="1527"/>
      <c r="Q159" s="1527"/>
      <c r="R159" s="1527"/>
      <c r="S159" s="1528"/>
      <c r="T159" s="1528"/>
      <c r="U159" s="1528"/>
      <c r="V159" s="1528"/>
      <c r="W159" s="1529"/>
      <c r="Y159" s="1486"/>
      <c r="Z159" s="1486"/>
      <c r="AA159" s="1486"/>
      <c r="AB159" s="1486"/>
      <c r="AC159" s="1486"/>
      <c r="AD159" s="1486"/>
      <c r="AE159" s="1486"/>
      <c r="AF159" s="1486"/>
      <c r="AG159" s="1486"/>
      <c r="AH159" s="1486"/>
      <c r="AI159" s="1486"/>
      <c r="AJ159" s="1486"/>
      <c r="AK159" s="1486"/>
      <c r="AL159" s="1486"/>
      <c r="AM159" s="1486"/>
      <c r="AN159" s="1486"/>
      <c r="AO159" s="1486"/>
      <c r="AP159" s="1486"/>
      <c r="AQ159" s="1486"/>
    </row>
    <row s="16044" customFormat="1" customHeight="1" ht="17.25" hidden="1">
      <c r="A160" s="543"/>
      <c r="C160" s="431"/>
      <c r="D160" s="2277">
        <v>2</v>
      </c>
      <c r="E160" s="2279" t="s">
        <v>375</v>
      </c>
      <c r="F160" s="2281" t="s">
        <v>53</v>
      </c>
      <c r="G160" s="2279"/>
      <c r="H160" s="2284"/>
      <c r="I160" s="2286"/>
      <c r="J160" s="2288"/>
      <c r="K160" s="2271"/>
      <c r="L160" s="2271"/>
      <c r="M160" s="2271"/>
      <c r="N160" s="2273"/>
      <c r="O160" s="2271"/>
      <c r="P160" s="2271"/>
      <c r="Q160" s="2271"/>
      <c r="R160" s="2276"/>
      <c r="S160" s="2271"/>
      <c r="T160" s="1697"/>
      <c r="U160" s="1697"/>
      <c r="V160" s="1699"/>
      <c r="W160" s="1523"/>
      <c r="X160" s="1494"/>
      <c r="Y160" s="1494"/>
      <c r="Z160" s="1494"/>
      <c r="AA160" s="1494"/>
      <c r="AB160" s="1494"/>
      <c r="AC160" s="1494" t="s">
        <v>376</v>
      </c>
      <c r="AD160" s="1494" t="s">
        <v>377</v>
      </c>
      <c r="AE160" s="1494" t="s">
        <v>378</v>
      </c>
      <c r="AF160" s="1494" t="s">
        <v>379</v>
      </c>
      <c r="AG160" s="1494"/>
      <c r="AH160" s="1494" t="str">
        <f>IF($E$160=0,"",$E$160)</f>
        <v>Тариф на транспортировку сточных вод</v>
      </c>
      <c r="AI160" s="1494" t="str">
        <f>IF($G$160=0,"",$G$160)</f>
        <v/>
      </c>
      <c r="AJ160" s="1494" t="str">
        <f>IF($J$160=0,"",$J$160)</f>
        <v/>
      </c>
      <c r="AK160" s="1494" t="str">
        <f>IF($K$160="нет","без дифференциации",IF($N$160=0,"",$N$160))</f>
        <v/>
      </c>
      <c r="AL160" s="1494" t="str">
        <f>IF($O$160="нет","без дифференциации",IF($R$160=0,"",$R$160))</f>
        <v/>
      </c>
      <c r="AM160" s="1494" t="str">
        <f>IF($S$160="нет","без дифференциации",IF($V$160=0,"",$V$160))</f>
        <v/>
      </c>
      <c r="AN160" s="1999">
        <f>$I$160</f>
        <v>0</v>
      </c>
      <c r="AO160" s="1494" t="str">
        <f>$I$160&amp;"."&amp;$M$160</f>
        <v>.</v>
      </c>
      <c r="AP160" s="1486" t="str">
        <f>$I$160&amp;"."&amp;$M$160&amp;"."&amp;$Q$160</f>
        <v>..</v>
      </c>
      <c r="AQ160" s="1486" t="str">
        <f>$I$160&amp;"."&amp;$M$160&amp;"."&amp;$Q$160&amp;"."&amp;$U$160</f>
        <v>...</v>
      </c>
    </row>
    <row s="16044" customFormat="1" customHeight="1" ht="17.25" hidden="1">
      <c r="A161" s="543"/>
      <c r="C161" s="542"/>
      <c r="D161" s="2277"/>
      <c r="E161" s="2279"/>
      <c r="F161" s="2282"/>
      <c r="G161" s="2279"/>
      <c r="H161" s="2285"/>
      <c r="I161" s="2287"/>
      <c r="J161" s="2289"/>
      <c r="K161" s="2272"/>
      <c r="L161" s="2272"/>
      <c r="M161" s="2272"/>
      <c r="N161" s="2274"/>
      <c r="O161" s="2272"/>
      <c r="P161" s="2272"/>
      <c r="Q161" s="2272"/>
      <c r="R161" s="2275"/>
      <c r="S161" s="2272"/>
      <c r="T161" s="1524"/>
      <c r="U161" s="1524"/>
      <c r="V161" s="1524"/>
      <c r="W161" s="1525"/>
      <c r="X161" s="1486"/>
      <c r="Y161" s="1486"/>
      <c r="Z161" s="1486"/>
      <c r="AA161" s="1486"/>
      <c r="AB161" s="1486"/>
      <c r="AC161" s="1486"/>
      <c r="AD161" s="1486"/>
      <c r="AE161" s="1486"/>
      <c r="AF161" s="1486"/>
      <c r="AG161" s="1486"/>
      <c r="AH161" s="1486"/>
      <c r="AI161" s="1486"/>
      <c r="AJ161" s="1486"/>
      <c r="AK161" s="1486"/>
      <c r="AL161" s="1486"/>
      <c r="AM161" s="1486"/>
      <c r="AN161" s="1486"/>
      <c r="AO161" s="1486"/>
      <c r="AP161" s="1486"/>
      <c r="AQ161" s="1486"/>
    </row>
    <row s="16044" customFormat="1" customHeight="1" ht="17.25" hidden="1">
      <c r="A162" s="543"/>
      <c r="C162" s="542"/>
      <c r="D162" s="2278"/>
      <c r="E162" s="2280"/>
      <c r="F162" s="2282"/>
      <c r="G162" s="2280"/>
      <c r="H162" s="2285"/>
      <c r="I162" s="2287"/>
      <c r="J162" s="2290"/>
      <c r="K162" s="2272"/>
      <c r="L162" s="2272"/>
      <c r="M162" s="2272"/>
      <c r="N162" s="2275"/>
      <c r="O162" s="2272"/>
      <c r="P162" s="1698"/>
      <c r="Q162" s="1524"/>
      <c r="R162" s="1524"/>
      <c r="S162" s="551"/>
      <c r="T162" s="551"/>
      <c r="U162" s="551"/>
      <c r="V162" s="551"/>
      <c r="W162" s="1525"/>
      <c r="X162" s="1486"/>
      <c r="Y162" s="1486"/>
      <c r="Z162" s="1486"/>
      <c r="AA162" s="1486"/>
      <c r="AB162" s="1486"/>
      <c r="AC162" s="1486"/>
      <c r="AD162" s="1486"/>
      <c r="AE162" s="1486"/>
      <c r="AF162" s="1486"/>
      <c r="AG162" s="1486"/>
      <c r="AH162" s="1486"/>
      <c r="AI162" s="1486"/>
      <c r="AJ162" s="1486"/>
      <c r="AK162" s="1486"/>
      <c r="AL162" s="1486"/>
      <c r="AM162" s="1486"/>
      <c r="AN162" s="1486"/>
      <c r="AO162" s="1486"/>
      <c r="AP162" s="1486"/>
      <c r="AQ162" s="1486"/>
    </row>
    <row s="16044" customFormat="1" customHeight="1" ht="17.25" hidden="1">
      <c r="A163" s="543"/>
      <c r="C163" s="542"/>
      <c r="D163" s="2278"/>
      <c r="E163" s="2280"/>
      <c r="F163" s="2282"/>
      <c r="G163" s="2280"/>
      <c r="H163" s="2285"/>
      <c r="I163" s="2287"/>
      <c r="J163" s="2290"/>
      <c r="K163" s="2272"/>
      <c r="L163" s="1524"/>
      <c r="M163" s="1524"/>
      <c r="N163" s="1524"/>
      <c r="O163" s="1524"/>
      <c r="P163" s="1524"/>
      <c r="Q163" s="1524"/>
      <c r="R163" s="1524"/>
      <c r="S163" s="551"/>
      <c r="T163" s="551"/>
      <c r="U163" s="551"/>
      <c r="V163" s="551"/>
      <c r="W163" s="1525"/>
      <c r="X163" s="1486"/>
      <c r="Y163" s="1486"/>
      <c r="Z163" s="1486"/>
      <c r="AA163" s="1486"/>
      <c r="AB163" s="1486"/>
      <c r="AC163" s="1486"/>
      <c r="AD163" s="1486"/>
      <c r="AE163" s="1486"/>
      <c r="AF163" s="1486"/>
      <c r="AG163" s="1486"/>
      <c r="AH163" s="1486"/>
      <c r="AI163" s="1486"/>
      <c r="AJ163" s="1486"/>
      <c r="AK163" s="1486"/>
      <c r="AL163" s="1486"/>
      <c r="AM163" s="1486"/>
      <c r="AN163" s="1486"/>
      <c r="AO163" s="1486"/>
      <c r="AP163" s="1486"/>
      <c r="AQ163" s="1486"/>
    </row>
    <row s="16044" customFormat="1" customHeight="1" ht="17.25" hidden="1">
      <c r="A164" s="543"/>
      <c r="C164" s="542"/>
      <c r="D164" s="2278"/>
      <c r="E164" s="2280"/>
      <c r="F164" s="2283"/>
      <c r="G164" s="2280"/>
      <c r="H164" s="1526"/>
      <c r="I164" s="1527"/>
      <c r="J164" s="1527"/>
      <c r="K164" s="1527"/>
      <c r="L164" s="1527"/>
      <c r="M164" s="1527"/>
      <c r="N164" s="1527"/>
      <c r="O164" s="1527"/>
      <c r="P164" s="1527"/>
      <c r="Q164" s="1527"/>
      <c r="R164" s="1527"/>
      <c r="S164" s="1528"/>
      <c r="T164" s="1528"/>
      <c r="U164" s="1528"/>
      <c r="V164" s="1528"/>
      <c r="W164" s="1529"/>
      <c r="X164" s="1486"/>
      <c r="Y164" s="1486"/>
      <c r="Z164" s="1486"/>
      <c r="AA164" s="1486"/>
      <c r="AB164" s="1486"/>
      <c r="AC164" s="1486"/>
      <c r="AD164" s="1486"/>
      <c r="AE164" s="1486"/>
      <c r="AF164" s="1486"/>
      <c r="AG164" s="1486"/>
      <c r="AH164" s="1486"/>
      <c r="AI164" s="1486"/>
      <c r="AJ164" s="1486"/>
      <c r="AK164" s="1486"/>
      <c r="AL164" s="1486"/>
      <c r="AM164" s="1486"/>
      <c r="AN164" s="1486"/>
      <c r="AO164" s="1486"/>
      <c r="AP164" s="1486"/>
      <c r="AQ164" s="1486"/>
    </row>
    <row s="16044" customFormat="1" customHeight="1" ht="17.25" hidden="1">
      <c r="A165" s="543"/>
      <c r="C165" s="431"/>
      <c r="D165" s="2277">
        <v>3</v>
      </c>
      <c r="E165" s="2279" t="s">
        <v>380</v>
      </c>
      <c r="F165" s="2281" t="s">
        <v>53</v>
      </c>
      <c r="G165" s="2279"/>
      <c r="H165" s="2284"/>
      <c r="I165" s="2286"/>
      <c r="J165" s="2288"/>
      <c r="K165" s="2271"/>
      <c r="L165" s="2271"/>
      <c r="M165" s="2271"/>
      <c r="N165" s="2273"/>
      <c r="O165" s="2271"/>
      <c r="P165" s="2271"/>
      <c r="Q165" s="2271"/>
      <c r="R165" s="2276"/>
      <c r="S165" s="2271"/>
      <c r="T165" s="2171"/>
      <c r="U165" s="2171"/>
      <c r="V165" s="2173"/>
      <c r="W165" s="1523"/>
      <c r="X165" s="1494"/>
      <c r="Y165" s="1494"/>
      <c r="Z165" s="1494"/>
      <c r="AA165" s="1494"/>
      <c r="AB165" s="1494"/>
      <c r="AC165" s="1494" t="s">
        <v>381</v>
      </c>
      <c r="AD165" s="1494" t="s">
        <v>382</v>
      </c>
      <c r="AE165" s="1494" t="s">
        <v>383</v>
      </c>
      <c r="AF165" s="1494" t="s">
        <v>384</v>
      </c>
      <c r="AG165" s="1494"/>
      <c r="AH165" s="1494" t="str">
        <f>IF($E$165=0,"",$E$165)</f>
        <v>Тариф на подключение (технологическое присоединение) к централизованной системе водоотведения</v>
      </c>
      <c r="AI165" s="1494" t="str">
        <f>IF($G$165=0,"",$G$165)</f>
        <v/>
      </c>
      <c r="AJ165" s="1494" t="str">
        <f>IF($J$165=0,"",$J$165)</f>
        <v/>
      </c>
      <c r="AK165" s="1494" t="str">
        <f>IF($K$165="нет","без дифференциации",IF($N$165=0,"",$N$165))</f>
        <v/>
      </c>
      <c r="AL165" s="1494" t="str">
        <f>IF($O$165="нет","без дифференциации",IF($R$165=0,"",$R$165))</f>
        <v/>
      </c>
      <c r="AM165" s="1494" t="str">
        <f>IF($S$165="нет","без дифференциации",IF($V$165=0,"",$V$165))</f>
        <v/>
      </c>
      <c r="AN165" s="1999">
        <f>$I$165</f>
        <v>0</v>
      </c>
      <c r="AO165" s="1494" t="str">
        <f>$I$165&amp;"."&amp;$M$165</f>
        <v>.</v>
      </c>
      <c r="AP165" s="1493" t="str">
        <f>$I$165&amp;"."&amp;$M$165&amp;"."&amp;$Q$165</f>
        <v>..</v>
      </c>
      <c r="AQ165" s="1493" t="str">
        <f>$I$165&amp;"."&amp;$M$165&amp;"."&amp;$Q$165&amp;"."&amp;$U$165</f>
        <v>...</v>
      </c>
    </row>
    <row s="16044" customFormat="1" customHeight="1" ht="17.25" hidden="1">
      <c r="A166" s="543"/>
      <c r="C166" s="542"/>
      <c r="D166" s="2277"/>
      <c r="E166" s="2279"/>
      <c r="F166" s="2282"/>
      <c r="G166" s="2279"/>
      <c r="H166" s="2285"/>
      <c r="I166" s="2287"/>
      <c r="J166" s="2289"/>
      <c r="K166" s="2272"/>
      <c r="L166" s="2272"/>
      <c r="M166" s="2272"/>
      <c r="N166" s="2274"/>
      <c r="O166" s="2272"/>
      <c r="P166" s="2272"/>
      <c r="Q166" s="2272"/>
      <c r="R166" s="2275"/>
      <c r="S166" s="2272"/>
      <c r="T166" s="2176"/>
      <c r="U166" s="2176"/>
      <c r="V166" s="2176"/>
      <c r="W166" s="2177"/>
      <c r="X166" s="1493"/>
      <c r="Y166" s="1493"/>
      <c r="Z166" s="1493"/>
      <c r="AA166" s="1493"/>
      <c r="AB166" s="1493"/>
      <c r="AC166" s="1493"/>
      <c r="AD166" s="1493"/>
      <c r="AE166" s="1493"/>
      <c r="AF166" s="1493"/>
      <c r="AG166" s="1493"/>
      <c r="AH166" s="1493"/>
      <c r="AI166" s="1493"/>
      <c r="AJ166" s="1493"/>
      <c r="AK166" s="1493"/>
      <c r="AL166" s="1493"/>
      <c r="AM166" s="1493"/>
      <c r="AN166" s="1493"/>
      <c r="AO166" s="1493"/>
      <c r="AP166" s="1493"/>
      <c r="AQ166" s="1493"/>
    </row>
    <row s="16044" customFormat="1" customHeight="1" ht="17.25" hidden="1">
      <c r="A167" s="543"/>
      <c r="C167" s="542"/>
      <c r="D167" s="2278"/>
      <c r="E167" s="2280"/>
      <c r="F167" s="2282"/>
      <c r="G167" s="2280"/>
      <c r="H167" s="2285"/>
      <c r="I167" s="2287"/>
      <c r="J167" s="2290"/>
      <c r="K167" s="2272"/>
      <c r="L167" s="2272"/>
      <c r="M167" s="2272"/>
      <c r="N167" s="2275"/>
      <c r="O167" s="2272"/>
      <c r="P167" s="2172"/>
      <c r="Q167" s="2176"/>
      <c r="R167" s="2176"/>
      <c r="S167" s="551"/>
      <c r="T167" s="551"/>
      <c r="U167" s="551"/>
      <c r="V167" s="551"/>
      <c r="W167" s="2177"/>
      <c r="X167" s="1493"/>
      <c r="Y167" s="1493"/>
      <c r="Z167" s="1493"/>
      <c r="AA167" s="1493"/>
      <c r="AB167" s="1493"/>
      <c r="AC167" s="1493"/>
      <c r="AD167" s="1493"/>
      <c r="AE167" s="1493"/>
      <c r="AF167" s="1493"/>
      <c r="AG167" s="1493"/>
      <c r="AH167" s="1493"/>
      <c r="AI167" s="1493"/>
      <c r="AJ167" s="1493"/>
      <c r="AK167" s="1493"/>
      <c r="AL167" s="1493"/>
      <c r="AM167" s="1493"/>
      <c r="AN167" s="1493"/>
      <c r="AO167" s="1493"/>
      <c r="AP167" s="1493"/>
      <c r="AQ167" s="1493"/>
    </row>
    <row s="16044" customFormat="1" customHeight="1" ht="17.25" hidden="1">
      <c r="A168" s="543"/>
      <c r="C168" s="542"/>
      <c r="D168" s="2278"/>
      <c r="E168" s="2280"/>
      <c r="F168" s="2282"/>
      <c r="G168" s="2280"/>
      <c r="H168" s="2285"/>
      <c r="I168" s="2287"/>
      <c r="J168" s="2290"/>
      <c r="K168" s="2272"/>
      <c r="L168" s="2176"/>
      <c r="M168" s="2176"/>
      <c r="N168" s="2176"/>
      <c r="O168" s="2176"/>
      <c r="P168" s="2176"/>
      <c r="Q168" s="2176"/>
      <c r="R168" s="2176"/>
      <c r="S168" s="551"/>
      <c r="T168" s="551"/>
      <c r="U168" s="551"/>
      <c r="V168" s="551"/>
      <c r="W168" s="2177"/>
      <c r="X168" s="1493"/>
      <c r="Y168" s="1493"/>
      <c r="Z168" s="1493"/>
      <c r="AA168" s="1493"/>
      <c r="AB168" s="1493"/>
      <c r="AC168" s="1493"/>
      <c r="AD168" s="1493"/>
      <c r="AE168" s="1493"/>
      <c r="AF168" s="1493"/>
      <c r="AG168" s="1493"/>
      <c r="AH168" s="1493"/>
      <c r="AI168" s="1493"/>
      <c r="AJ168" s="1493"/>
      <c r="AK168" s="1493"/>
      <c r="AL168" s="1493"/>
      <c r="AM168" s="1493"/>
      <c r="AN168" s="1493"/>
      <c r="AO168" s="1493"/>
      <c r="AP168" s="1493"/>
      <c r="AQ168" s="1493"/>
    </row>
    <row s="16044" customFormat="1" customHeight="1" ht="17.25" hidden="1">
      <c r="A169" s="543"/>
      <c r="C169" s="542"/>
      <c r="D169" s="2278"/>
      <c r="E169" s="2280"/>
      <c r="F169" s="2283"/>
      <c r="G169" s="2280"/>
      <c r="H169" s="1526"/>
      <c r="I169" s="2174"/>
      <c r="J169" s="2174"/>
      <c r="K169" s="2174"/>
      <c r="L169" s="2174"/>
      <c r="M169" s="2174"/>
      <c r="N169" s="2174"/>
      <c r="O169" s="2174"/>
      <c r="P169" s="2174"/>
      <c r="Q169" s="2174"/>
      <c r="R169" s="2174"/>
      <c r="S169" s="1528"/>
      <c r="T169" s="1528"/>
      <c r="U169" s="1528"/>
      <c r="V169" s="1528"/>
      <c r="W169" s="2175"/>
      <c r="X169" s="1493"/>
      <c r="Y169" s="1493"/>
      <c r="Z169" s="1493"/>
      <c r="AA169" s="1493"/>
      <c r="AB169" s="1493"/>
      <c r="AC169" s="1493"/>
      <c r="AD169" s="1493"/>
      <c r="AE169" s="1493"/>
      <c r="AF169" s="1493"/>
      <c r="AG169" s="1493"/>
      <c r="AH169" s="1493"/>
      <c r="AI169" s="1493"/>
      <c r="AJ169" s="1493"/>
      <c r="AK169" s="1493"/>
      <c r="AL169" s="1493"/>
      <c r="AM169" s="1493"/>
      <c r="AN169" s="1493"/>
      <c r="AO169" s="1493"/>
      <c r="AP169" s="1493"/>
      <c r="AQ169" s="1493"/>
    </row>
    <row r="173" customHeight="1" ht="11.25">
      <c r="E173" s="1577"/>
    </row>
    <row customHeight="1" ht="11.25">
      <c r="E174" s="1577"/>
    </row>
    <row customHeight="1" ht="11.25">
      <c r="E175" s="1577"/>
    </row>
    <row customHeight="1" ht="11.25">
      <c r="E176" s="1577"/>
    </row>
    <row customHeight="1" ht="11.25">
      <c r="E177" s="1577"/>
    </row>
    <row customHeight="1" ht="11.25">
      <c r="E178" s="1577"/>
    </row>
    <row customHeight="1" ht="11.25">
      <c r="E179" s="1577"/>
    </row>
  </sheetData>
  <sheetProtection formatColumns="0" formatRows="0" autoFilter="0" sort="0" insertRows="0" insertColumns="1" deleteRows="0" deleteColumns="0"/>
  <mergeCells count="481">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53:E57"/>
    <mergeCell ref="F53:F57"/>
    <mergeCell ref="G53:G57"/>
    <mergeCell ref="H53:H56"/>
    <mergeCell ref="I53:I56"/>
    <mergeCell ref="J53:J56"/>
    <mergeCell ref="K53:K56"/>
    <mergeCell ref="L53:L55"/>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R13:R14"/>
    <mergeCell ref="S13:S14"/>
    <mergeCell ref="M43:M45"/>
    <mergeCell ref="N43:N45"/>
    <mergeCell ref="O43:O45"/>
    <mergeCell ref="N33:N35"/>
    <mergeCell ref="D100:D143"/>
    <mergeCell ref="E100:E143"/>
    <mergeCell ref="F100:F143"/>
    <mergeCell ref="G100:G143"/>
    <mergeCell ref="P48:P49"/>
    <mergeCell ref="Q48:Q49"/>
    <mergeCell ref="R48:R49"/>
    <mergeCell ref="S48:S49"/>
    <mergeCell ref="P43:P44"/>
    <mergeCell ref="Q43:Q44"/>
    <mergeCell ref="R43:R44"/>
    <mergeCell ref="S43:S44"/>
    <mergeCell ref="S23:S24"/>
    <mergeCell ref="S155:S156"/>
    <mergeCell ref="D155:D159"/>
    <mergeCell ref="E155:E159"/>
    <mergeCell ref="F155:F159"/>
    <mergeCell ref="G155:G159"/>
    <mergeCell ref="M144:M146"/>
    <mergeCell ref="N144:N146"/>
    <mergeCell ref="O144:O146"/>
    <mergeCell ref="P144:P145"/>
    <mergeCell ref="Q144:Q145"/>
    <mergeCell ref="R144:R145"/>
    <mergeCell ref="S144:S145"/>
    <mergeCell ref="D144:D148"/>
    <mergeCell ref="E144:E148"/>
    <mergeCell ref="F144:F148"/>
    <mergeCell ref="G144:G148"/>
    <mergeCell ref="H144:H147"/>
    <mergeCell ref="I144:I147"/>
    <mergeCell ref="J144:J147"/>
    <mergeCell ref="K144:K147"/>
    <mergeCell ref="L144:L146"/>
    <mergeCell ref="O155:O157"/>
    <mergeCell ref="M160:M162"/>
    <mergeCell ref="N160:N162"/>
    <mergeCell ref="O160:O162"/>
    <mergeCell ref="P155:P156"/>
    <mergeCell ref="Q155:Q156"/>
    <mergeCell ref="R155:R156"/>
    <mergeCell ref="P160:P161"/>
    <mergeCell ref="Q160:Q161"/>
    <mergeCell ref="R160:R161"/>
    <mergeCell ref="F94:F98"/>
    <mergeCell ref="G94:G98"/>
    <mergeCell ref="H94:H97"/>
    <mergeCell ref="I94:I97"/>
    <mergeCell ref="J94:J97"/>
    <mergeCell ref="K94:K97"/>
    <mergeCell ref="L94:L96"/>
    <mergeCell ref="S160:S161"/>
    <mergeCell ref="D160:D164"/>
    <mergeCell ref="E160:E164"/>
    <mergeCell ref="F160:F164"/>
    <mergeCell ref="G160:G164"/>
    <mergeCell ref="H160:H163"/>
    <mergeCell ref="I160:I163"/>
    <mergeCell ref="J160:J163"/>
    <mergeCell ref="K160:K163"/>
    <mergeCell ref="L160:L162"/>
    <mergeCell ref="H155:H158"/>
    <mergeCell ref="I155:I158"/>
    <mergeCell ref="J155:J158"/>
    <mergeCell ref="K155:K158"/>
    <mergeCell ref="L155:L157"/>
    <mergeCell ref="M155:M157"/>
    <mergeCell ref="N155:N157"/>
    <mergeCell ref="N94:N96"/>
    <mergeCell ref="O94:O96"/>
    <mergeCell ref="P94:P95"/>
    <mergeCell ref="Q94:Q95"/>
    <mergeCell ref="R94:R95"/>
    <mergeCell ref="S94:S95"/>
    <mergeCell ref="D149:D153"/>
    <mergeCell ref="E149:E153"/>
    <mergeCell ref="F149:F153"/>
    <mergeCell ref="G149:G153"/>
    <mergeCell ref="D94:D98"/>
    <mergeCell ref="E94:E98"/>
    <mergeCell ref="M165:M167"/>
    <mergeCell ref="N165:N167"/>
    <mergeCell ref="O165:O167"/>
    <mergeCell ref="P165:P166"/>
    <mergeCell ref="Q165:Q166"/>
    <mergeCell ref="R165:R166"/>
    <mergeCell ref="S165:S166"/>
    <mergeCell ref="D165:D169"/>
    <mergeCell ref="E165:E169"/>
    <mergeCell ref="F165:F169"/>
    <mergeCell ref="G165:G169"/>
    <mergeCell ref="H165:H168"/>
    <mergeCell ref="I165:I168"/>
    <mergeCell ref="J165:J168"/>
    <mergeCell ref="K165:K168"/>
    <mergeCell ref="L165:L167"/>
    <mergeCell ref="H149:H152"/>
    <mergeCell ref="J149:J152"/>
    <mergeCell ref="K149:K152"/>
    <mergeCell ref="M149:M151"/>
    <mergeCell ref="O149:O151"/>
    <mergeCell ref="L149:L151"/>
    <mergeCell ref="Q149:Q150"/>
    <mergeCell ref="R149:R150"/>
    <mergeCell ref="S149:S150"/>
    <mergeCell ref="P149:P150"/>
    <mergeCell ref="N149:N151"/>
    <mergeCell ref="I149:I152"/>
    <mergeCell ref="W100:W101"/>
    <mergeCell ref="O100:O102"/>
    <mergeCell ref="P100:P101"/>
    <mergeCell ref="Q100:Q101"/>
    <mergeCell ref="R100:R101"/>
    <mergeCell ref="H100:H142"/>
    <mergeCell ref="I100:I142"/>
    <mergeCell ref="J100:J142"/>
    <mergeCell ref="K100:K142"/>
    <mergeCell ref="L100:L102"/>
    <mergeCell ref="S100:S101"/>
    <mergeCell ref="M100:M102"/>
    <mergeCell ref="N100:N102"/>
    <mergeCell ref="L103:L105"/>
    <mergeCell ref="M103:M105"/>
    <mergeCell ref="N103:N105"/>
    <mergeCell ref="O103:O105"/>
    <mergeCell ref="P103:P104"/>
    <mergeCell ref="Q103:Q104"/>
    <mergeCell ref="R103:R104"/>
    <mergeCell ref="S103:S104"/>
    <mergeCell ref="W103:W104"/>
    <mergeCell ref="L106:L108"/>
    <mergeCell ref="M106:M108"/>
    <mergeCell ref="N106:N108"/>
    <mergeCell ref="O106:O108"/>
    <mergeCell ref="P106:P107"/>
    <mergeCell ref="Q106:Q107"/>
    <mergeCell ref="R106:R107"/>
    <mergeCell ref="S106:S107"/>
    <mergeCell ref="W106:W107"/>
    <mergeCell ref="L109:L111"/>
    <mergeCell ref="M109:M111"/>
    <mergeCell ref="N109:N111"/>
    <mergeCell ref="O109:O111"/>
    <mergeCell ref="P109:P110"/>
    <mergeCell ref="Q109:Q110"/>
    <mergeCell ref="R109:R110"/>
    <mergeCell ref="S109:S110"/>
    <mergeCell ref="W109:W110"/>
    <mergeCell ref="L112:L114"/>
    <mergeCell ref="M112:M114"/>
    <mergeCell ref="N112:N114"/>
    <mergeCell ref="O112:O114"/>
    <mergeCell ref="P112:P113"/>
    <mergeCell ref="Q112:Q113"/>
    <mergeCell ref="R112:R113"/>
    <mergeCell ref="S112:S113"/>
    <mergeCell ref="W112:W113"/>
    <mergeCell ref="L115:L117"/>
    <mergeCell ref="M115:M117"/>
    <mergeCell ref="N115:N117"/>
    <mergeCell ref="O115:O117"/>
    <mergeCell ref="P115:P116"/>
    <mergeCell ref="Q115:Q116"/>
    <mergeCell ref="R115:R116"/>
    <mergeCell ref="S115:S116"/>
    <mergeCell ref="W115:W116"/>
    <mergeCell ref="L118:L120"/>
    <mergeCell ref="M118:M120"/>
    <mergeCell ref="N118:N120"/>
    <mergeCell ref="O118:O120"/>
    <mergeCell ref="P118:P119"/>
    <mergeCell ref="Q118:Q119"/>
    <mergeCell ref="R118:R119"/>
    <mergeCell ref="S118:S119"/>
    <mergeCell ref="W118:W119"/>
    <mergeCell ref="L121:L123"/>
    <mergeCell ref="M121:M123"/>
    <mergeCell ref="N121:N123"/>
    <mergeCell ref="O121:O123"/>
    <mergeCell ref="P121:P122"/>
    <mergeCell ref="Q121:Q122"/>
    <mergeCell ref="R121:R122"/>
    <mergeCell ref="S121:S122"/>
    <mergeCell ref="W121:W122"/>
    <mergeCell ref="L124:L126"/>
    <mergeCell ref="M124:M126"/>
    <mergeCell ref="N124:N126"/>
    <mergeCell ref="O124:O126"/>
    <mergeCell ref="P124:P125"/>
    <mergeCell ref="Q124:Q125"/>
    <mergeCell ref="R124:R125"/>
    <mergeCell ref="S124:S125"/>
    <mergeCell ref="W124:W125"/>
    <mergeCell ref="L127:L129"/>
    <mergeCell ref="M127:M129"/>
    <mergeCell ref="N127:N129"/>
    <mergeCell ref="O127:O129"/>
    <mergeCell ref="P127:P128"/>
    <mergeCell ref="Q127:Q128"/>
    <mergeCell ref="R127:R128"/>
    <mergeCell ref="S127:S128"/>
    <mergeCell ref="W127:W128"/>
    <mergeCell ref="L130:L132"/>
    <mergeCell ref="M130:M132"/>
    <mergeCell ref="N130:N132"/>
    <mergeCell ref="O130:O132"/>
    <mergeCell ref="P130:P131"/>
    <mergeCell ref="Q130:Q131"/>
    <mergeCell ref="R130:R131"/>
    <mergeCell ref="S130:S131"/>
    <mergeCell ref="W130:W131"/>
    <mergeCell ref="L133:L135"/>
    <mergeCell ref="M133:M135"/>
    <mergeCell ref="N133:N135"/>
    <mergeCell ref="O133:O135"/>
    <mergeCell ref="P133:P134"/>
    <mergeCell ref="Q133:Q134"/>
    <mergeCell ref="R133:R134"/>
    <mergeCell ref="S133:S134"/>
    <mergeCell ref="W133:W134"/>
    <mergeCell ref="L136:L138"/>
    <mergeCell ref="M136:M138"/>
    <mergeCell ref="N136:N138"/>
    <mergeCell ref="O136:O138"/>
    <mergeCell ref="P136:P137"/>
    <mergeCell ref="Q136:Q137"/>
    <mergeCell ref="R136:R137"/>
    <mergeCell ref="S136:S137"/>
    <mergeCell ref="W136:W137"/>
    <mergeCell ref="L139:L141"/>
    <mergeCell ref="M139:M141"/>
    <mergeCell ref="N139:N141"/>
    <mergeCell ref="O139:O141"/>
    <mergeCell ref="P139:P140"/>
    <mergeCell ref="Q139:Q140"/>
    <mergeCell ref="R139:R140"/>
    <mergeCell ref="S139:S140"/>
    <mergeCell ref="W139:W140"/>
  </mergeCells>
  <dataValidations count="26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1"/>
    <dataValidation allowBlank="1" showInputMessage="1" showErrorMessage="1" prompt="Выберите виды деятельности, выполнив двойной щелчок левой кнопки мыши по ячейке." sqref="G141"/>
    <dataValidation allowBlank="1" showInputMessage="1" showErrorMessage="1" prompt="Для выбора выполните двойной щелчок левой клавиши мыши по соответствующей ячейке." sqref="F141"/>
    <dataValidation allowBlank="1" showInputMessage="1" showErrorMessage="1" prompt="Для выбора выполните двойной щелчок левой клавиши мыши по соответствующей ячейке." sqref="S140"/>
    <dataValidation type="textLength" operator="lessThanOrEqual" allowBlank="1" showInputMessage="1" showErrorMessage="1" errorTitle="Ошибка" error="Допускается ввод не более 900 символов!" sqref="R14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0"/>
    <dataValidation type="textLength" operator="lessThanOrEqual" allowBlank="1" showInputMessage="1" showErrorMessage="1" errorTitle="Ошибка" error="Допускается ввод не более 900 символов!" sqref="J140">
      <formula1>900</formula1>
    </dataValidation>
    <dataValidation allowBlank="1" showInputMessage="1" showErrorMessage="1" prompt="Выберите виды деятельности, выполнив двойной щелчок левой кнопки мыши по ячейке." sqref="G140"/>
    <dataValidation allowBlank="1" showInputMessage="1" showErrorMessage="1" prompt="Для выбора выполните двойной щелчок левой клавиши мыши по соответствующей ячейке." sqref="F140"/>
    <dataValidation type="textLength" operator="lessThanOrEqual" allowBlank="1" showInputMessage="1" showErrorMessage="1" errorTitle="Ошибка" error="Допускается ввод не более 900 символов!" sqref="W139">
      <formula1>900</formula1>
    </dataValidation>
    <dataValidation type="textLength" operator="lessThanOrEqual" allowBlank="1" showInputMessage="1" showErrorMessage="1" errorTitle="Ошибка" error="Допускается ввод не более 900 символов!" sqref="V139">
      <formula1>900</formula1>
    </dataValidation>
    <dataValidation allowBlank="1" showInputMessage="1" showErrorMessage="1" prompt="Для выбора выполните двойной щелчок левой клавиши мыши по соответствующей ячейке." sqref="S139"/>
    <dataValidation type="textLength" operator="lessThanOrEqual" allowBlank="1" showInputMessage="1" showErrorMessage="1" errorTitle="Ошибка" error="Допускается ввод не более 900 символов!" sqref="R139">
      <formula1>900</formula1>
    </dataValidation>
    <dataValidation allowBlank="1" showInputMessage="1" showErrorMessage="1" prompt="Для выбора выполните двойной щелчок левой клавиши мыши по соответствующей ячейке." sqref="O13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9"/>
    <dataValidation type="textLength" operator="lessThanOrEqual" allowBlank="1" showInputMessage="1" showErrorMessage="1" errorTitle="Ошибка" error="Допускается ввод не более 900 символов!" sqref="J139">
      <formula1>900</formula1>
    </dataValidation>
    <dataValidation allowBlank="1" showInputMessage="1" showErrorMessage="1" prompt="Выберите виды деятельности, выполнив двойной щелчок левой кнопки мыши по ячейке." sqref="G139"/>
    <dataValidation allowBlank="1" showInputMessage="1" showErrorMessage="1" prompt="Для выбора выполните двойной щелчок левой клавиши мыши по соответствующей ячейке." sqref="F13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8"/>
    <dataValidation allowBlank="1" showInputMessage="1" showErrorMessage="1" prompt="Выберите виды деятельности, выполнив двойной щелчок левой кнопки мыши по ячейке." sqref="G138"/>
    <dataValidation allowBlank="1" showInputMessage="1" showErrorMessage="1" prompt="Для выбора выполните двойной щелчок левой клавиши мыши по соответствующей ячейке." sqref="F138"/>
    <dataValidation allowBlank="1" showInputMessage="1" showErrorMessage="1" prompt="Для выбора выполните двойной щелчок левой клавиши мыши по соответствующей ячейке." sqref="S137"/>
    <dataValidation type="textLength" operator="lessThanOrEqual" allowBlank="1" showInputMessage="1" showErrorMessage="1" errorTitle="Ошибка" error="Допускается ввод не более 900 символов!" sqref="R13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7"/>
    <dataValidation type="textLength" operator="lessThanOrEqual" allowBlank="1" showInputMessage="1" showErrorMessage="1" errorTitle="Ошибка" error="Допускается ввод не более 900 символов!" sqref="J137">
      <formula1>900</formula1>
    </dataValidation>
    <dataValidation allowBlank="1" showInputMessage="1" showErrorMessage="1" prompt="Выберите виды деятельности, выполнив двойной щелчок левой кнопки мыши по ячейке." sqref="G137"/>
    <dataValidation allowBlank="1" showInputMessage="1" showErrorMessage="1" prompt="Для выбора выполните двойной щелчок левой клавиши мыши по соответствующей ячейке." sqref="F137"/>
    <dataValidation type="textLength" operator="lessThanOrEqual" allowBlank="1" showInputMessage="1" showErrorMessage="1" errorTitle="Ошибка" error="Допускается ввод не более 900 символов!" sqref="W136">
      <formula1>900</formula1>
    </dataValidation>
    <dataValidation type="textLength" operator="lessThanOrEqual" allowBlank="1" showInputMessage="1" showErrorMessage="1" errorTitle="Ошибка" error="Допускается ввод не более 900 символов!" sqref="V136">
      <formula1>900</formula1>
    </dataValidation>
    <dataValidation allowBlank="1" showInputMessage="1" showErrorMessage="1" prompt="Для выбора выполните двойной щелчок левой клавиши мыши по соответствующей ячейке." sqref="S136"/>
    <dataValidation type="textLength" operator="lessThanOrEqual" allowBlank="1" showInputMessage="1" showErrorMessage="1" errorTitle="Ошибка" error="Допускается ввод не более 900 символов!" sqref="R136">
      <formula1>900</formula1>
    </dataValidation>
    <dataValidation allowBlank="1" showInputMessage="1" showErrorMessage="1" prompt="Для выбора выполните двойной щелчок левой клавиши мыши по соответствующей ячейке." sqref="O13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6"/>
    <dataValidation type="textLength" operator="lessThanOrEqual" allowBlank="1" showInputMessage="1" showErrorMessage="1" errorTitle="Ошибка" error="Допускается ввод не более 900 символов!" sqref="J136">
      <formula1>900</formula1>
    </dataValidation>
    <dataValidation allowBlank="1" showInputMessage="1" showErrorMessage="1" prompt="Выберите виды деятельности, выполнив двойной щелчок левой кнопки мыши по ячейке." sqref="G136"/>
    <dataValidation allowBlank="1" showInputMessage="1" showErrorMessage="1" prompt="Для выбора выполните двойной щелчок левой клавиши мыши по соответствующей ячейке." sqref="F13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5"/>
    <dataValidation allowBlank="1" showInputMessage="1" showErrorMessage="1" prompt="Выберите виды деятельности, выполнив двойной щелчок левой кнопки мыши по ячейке." sqref="G135"/>
    <dataValidation allowBlank="1" showInputMessage="1" showErrorMessage="1" prompt="Для выбора выполните двойной щелчок левой клавиши мыши по соответствующей ячейке." sqref="F135"/>
    <dataValidation allowBlank="1" showInputMessage="1" showErrorMessage="1" prompt="Для выбора выполните двойной щелчок левой клавиши мыши по соответствующей ячейке." sqref="S134"/>
    <dataValidation type="textLength" operator="lessThanOrEqual" allowBlank="1" showInputMessage="1" showErrorMessage="1" errorTitle="Ошибка" error="Допускается ввод не более 900 символов!" sqref="R1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4"/>
    <dataValidation type="textLength" operator="lessThanOrEqual" allowBlank="1" showInputMessage="1" showErrorMessage="1" errorTitle="Ошибка" error="Допускается ввод не более 900 символов!" sqref="J134">
      <formula1>900</formula1>
    </dataValidation>
    <dataValidation allowBlank="1" showInputMessage="1" showErrorMessage="1" prompt="Выберите виды деятельности, выполнив двойной щелчок левой кнопки мыши по ячейке." sqref="G134"/>
    <dataValidation allowBlank="1" showInputMessage="1" showErrorMessage="1" prompt="Для выбора выполните двойной щелчок левой клавиши мыши по соответствующей ячейке." sqref="F134"/>
    <dataValidation type="textLength" operator="lessThanOrEqual" allowBlank="1" showInputMessage="1" showErrorMessage="1" errorTitle="Ошибка" error="Допускается ввод не более 900 символов!" sqref="W133">
      <formula1>900</formula1>
    </dataValidation>
    <dataValidation type="textLength" operator="lessThanOrEqual" allowBlank="1" showInputMessage="1" showErrorMessage="1" errorTitle="Ошибка" error="Допускается ввод не более 900 символов!" sqref="V133">
      <formula1>900</formula1>
    </dataValidation>
    <dataValidation allowBlank="1" showInputMessage="1" showErrorMessage="1" prompt="Для выбора выполните двойной щелчок левой клавиши мыши по соответствующей ячейке." sqref="S133"/>
    <dataValidation type="textLength" operator="lessThanOrEqual" allowBlank="1" showInputMessage="1" showErrorMessage="1" errorTitle="Ошибка" error="Допускается ввод не более 900 символов!" sqref="R133">
      <formula1>900</formula1>
    </dataValidation>
    <dataValidation allowBlank="1" showInputMessage="1" showErrorMessage="1" prompt="Для выбора выполните двойной щелчок левой клавиши мыши по соответствующей ячейке." sqref="O1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3"/>
    <dataValidation type="textLength" operator="lessThanOrEqual" allowBlank="1" showInputMessage="1" showErrorMessage="1" errorTitle="Ошибка" error="Допускается ввод не более 900 символов!" sqref="J133">
      <formula1>900</formula1>
    </dataValidation>
    <dataValidation allowBlank="1" showInputMessage="1" showErrorMessage="1" prompt="Выберите виды деятельности, выполнив двойной щелчок левой кнопки мыши по ячейке." sqref="G133"/>
    <dataValidation allowBlank="1" showInputMessage="1" showErrorMessage="1" prompt="Для выбора выполните двойной щелчок левой клавиши мыши по соответствующей ячейке." sqref="F1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2"/>
    <dataValidation allowBlank="1" showInputMessage="1" showErrorMessage="1" prompt="Выберите виды деятельности, выполнив двойной щелчок левой кнопки мыши по ячейке." sqref="G132"/>
    <dataValidation allowBlank="1" showInputMessage="1" showErrorMessage="1" prompt="Для выбора выполните двойной щелчок левой клавиши мыши по соответствующей ячейке." sqref="F132"/>
    <dataValidation allowBlank="1" showInputMessage="1" showErrorMessage="1" prompt="Для выбора выполните двойной щелчок левой клавиши мыши по соответствующей ячейке." sqref="S131"/>
    <dataValidation type="textLength" operator="lessThanOrEqual" allowBlank="1" showInputMessage="1" showErrorMessage="1" errorTitle="Ошибка" error="Допускается ввод не более 900 символов!" sqref="R13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1"/>
    <dataValidation type="textLength" operator="lessThanOrEqual" allowBlank="1" showInputMessage="1" showErrorMessage="1" errorTitle="Ошибка" error="Допускается ввод не более 900 символов!" sqref="J131">
      <formula1>900</formula1>
    </dataValidation>
    <dataValidation allowBlank="1" showInputMessage="1" showErrorMessage="1" prompt="Выберите виды деятельности, выполнив двойной щелчок левой кнопки мыши по ячейке." sqref="G131"/>
    <dataValidation allowBlank="1" showInputMessage="1" showErrorMessage="1" prompt="Для выбора выполните двойной щелчок левой клавиши мыши по соответствующей ячейке." sqref="F131"/>
    <dataValidation type="textLength" operator="lessThanOrEqual" allowBlank="1" showInputMessage="1" showErrorMessage="1" errorTitle="Ошибка" error="Допускается ввод не более 900 символов!" sqref="W130">
      <formula1>900</formula1>
    </dataValidation>
    <dataValidation type="textLength" operator="lessThanOrEqual" allowBlank="1" showInputMessage="1" showErrorMessage="1" errorTitle="Ошибка" error="Допускается ввод не более 900 символов!" sqref="V130">
      <formula1>900</formula1>
    </dataValidation>
    <dataValidation allowBlank="1" showInputMessage="1" showErrorMessage="1" prompt="Для выбора выполните двойной щелчок левой клавиши мыши по соответствующей ячейке." sqref="S130"/>
    <dataValidation type="textLength" operator="lessThanOrEqual" allowBlank="1" showInputMessage="1" showErrorMessage="1" errorTitle="Ошибка" error="Допускается ввод не более 900 символов!" sqref="R130">
      <formula1>900</formula1>
    </dataValidation>
    <dataValidation allowBlank="1" showInputMessage="1" showErrorMessage="1" prompt="Для выбора выполните двойной щелчок левой клавиши мыши по соответствующей ячейке." sqref="O13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0"/>
    <dataValidation type="textLength" operator="lessThanOrEqual" allowBlank="1" showInputMessage="1" showErrorMessage="1" errorTitle="Ошибка" error="Допускается ввод не более 900 символов!" sqref="J130">
      <formula1>900</formula1>
    </dataValidation>
    <dataValidation allowBlank="1" showInputMessage="1" showErrorMessage="1" prompt="Выберите виды деятельности, выполнив двойной щелчок левой кнопки мыши по ячейке." sqref="G130"/>
    <dataValidation allowBlank="1" showInputMessage="1" showErrorMessage="1" prompt="Для выбора выполните двойной щелчок левой клавиши мыши по соответствующей ячейке." sqref="F13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9"/>
    <dataValidation allowBlank="1" showInputMessage="1" showErrorMessage="1" prompt="Выберите виды деятельности, выполнив двойной щелчок левой кнопки мыши по ячейке." sqref="G129"/>
    <dataValidation allowBlank="1" showInputMessage="1" showErrorMessage="1" prompt="Для выбора выполните двойной щелчок левой клавиши мыши по соответствующей ячейке." sqref="F129"/>
    <dataValidation allowBlank="1" showInputMessage="1" showErrorMessage="1" prompt="Для выбора выполните двойной щелчок левой клавиши мыши по соответствующей ячейке." sqref="S128"/>
    <dataValidation type="textLength" operator="lessThanOrEqual" allowBlank="1" showInputMessage="1" showErrorMessage="1" errorTitle="Ошибка" error="Допускается ввод не более 900 символов!" sqref="R12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8"/>
    <dataValidation type="textLength" operator="lessThanOrEqual" allowBlank="1" showInputMessage="1" showErrorMessage="1" errorTitle="Ошибка" error="Допускается ввод не более 900 символов!" sqref="J128">
      <formula1>900</formula1>
    </dataValidation>
    <dataValidation allowBlank="1" showInputMessage="1" showErrorMessage="1" prompt="Выберите виды деятельности, выполнив двойной щелчок левой кнопки мыши по ячейке." sqref="G128"/>
    <dataValidation allowBlank="1" showInputMessage="1" showErrorMessage="1" prompt="Для выбора выполните двойной щелчок левой клавиши мыши по соответствующей ячейке." sqref="F128"/>
    <dataValidation type="textLength" operator="lessThanOrEqual" allowBlank="1" showInputMessage="1" showErrorMessage="1" errorTitle="Ошибка" error="Допускается ввод не более 900 символов!" sqref="W127">
      <formula1>900</formula1>
    </dataValidation>
    <dataValidation type="textLength" operator="lessThanOrEqual" allowBlank="1" showInputMessage="1" showErrorMessage="1" errorTitle="Ошибка" error="Допускается ввод не более 900 символов!" sqref="V127">
      <formula1>900</formula1>
    </dataValidation>
    <dataValidation allowBlank="1" showInputMessage="1" showErrorMessage="1" prompt="Для выбора выполните двойной щелчок левой клавиши мыши по соответствующей ячейке." sqref="S127"/>
    <dataValidation type="textLength" operator="lessThanOrEqual" allowBlank="1" showInputMessage="1" showErrorMessage="1" errorTitle="Ошибка" error="Допускается ввод не более 900 символов!" sqref="R127">
      <formula1>900</formula1>
    </dataValidation>
    <dataValidation allowBlank="1" showInputMessage="1" showErrorMessage="1" prompt="Для выбора выполните двойной щелчок левой клавиши мыши по соответствующей ячейке." sqref="O12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7"/>
    <dataValidation type="textLength" operator="lessThanOrEqual" allowBlank="1" showInputMessage="1" showErrorMessage="1" errorTitle="Ошибка" error="Допускается ввод не более 900 символов!" sqref="J127">
      <formula1>900</formula1>
    </dataValidation>
    <dataValidation allowBlank="1" showInputMessage="1" showErrorMessage="1" prompt="Выберите виды деятельности, выполнив двойной щелчок левой кнопки мыши по ячейке." sqref="G127"/>
    <dataValidation allowBlank="1" showInputMessage="1" showErrorMessage="1" prompt="Для выбора выполните двойной щелчок левой клавиши мыши по соответствующей ячейке." sqref="F12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6"/>
    <dataValidation allowBlank="1" showInputMessage="1" showErrorMessage="1" prompt="Выберите виды деятельности, выполнив двойной щелчок левой кнопки мыши по ячейке." sqref="G126"/>
    <dataValidation allowBlank="1" showInputMessage="1" showErrorMessage="1" prompt="Для выбора выполните двойной щелчок левой клавиши мыши по соответствующей ячейке." sqref="F126"/>
    <dataValidation allowBlank="1" showInputMessage="1" showErrorMessage="1" prompt="Для выбора выполните двойной щелчок левой клавиши мыши по соответствующей ячейке." sqref="S125"/>
    <dataValidation type="textLength" operator="lessThanOrEqual" allowBlank="1" showInputMessage="1" showErrorMessage="1" errorTitle="Ошибка" error="Допускается ввод не более 900 символов!" sqref="R12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5"/>
    <dataValidation type="textLength" operator="lessThanOrEqual" allowBlank="1" showInputMessage="1" showErrorMessage="1" errorTitle="Ошибка" error="Допускается ввод не более 900 символов!" sqref="J125">
      <formula1>900</formula1>
    </dataValidation>
    <dataValidation allowBlank="1" showInputMessage="1" showErrorMessage="1" prompt="Выберите виды деятельности, выполнив двойной щелчок левой кнопки мыши по ячейке." sqref="G125"/>
    <dataValidation allowBlank="1" showInputMessage="1" showErrorMessage="1" prompt="Для выбора выполните двойной щелчок левой клавиши мыши по соответствующей ячейке." sqref="F125"/>
    <dataValidation type="textLength" operator="lessThanOrEqual" allowBlank="1" showInputMessage="1" showErrorMessage="1" errorTitle="Ошибка" error="Допускается ввод не более 900 символов!" sqref="W124">
      <formula1>900</formula1>
    </dataValidation>
    <dataValidation type="textLength" operator="lessThanOrEqual" allowBlank="1" showInputMessage="1" showErrorMessage="1" errorTitle="Ошибка" error="Допускается ввод не более 900 символов!" sqref="V124">
      <formula1>900</formula1>
    </dataValidation>
    <dataValidation allowBlank="1" showInputMessage="1" showErrorMessage="1" prompt="Для выбора выполните двойной щелчок левой клавиши мыши по соответствующей ячейке." sqref="S124"/>
    <dataValidation type="textLength" operator="lessThanOrEqual" allowBlank="1" showInputMessage="1" showErrorMessage="1" errorTitle="Ошибка" error="Допускается ввод не более 900 символов!" sqref="R124">
      <formula1>900</formula1>
    </dataValidation>
    <dataValidation allowBlank="1" showInputMessage="1" showErrorMessage="1" prompt="Для выбора выполните двойной щелчок левой клавиши мыши по соответствующей ячейке." sqref="O1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4"/>
    <dataValidation type="textLength" operator="lessThanOrEqual" allowBlank="1" showInputMessage="1" showErrorMessage="1" errorTitle="Ошибка" error="Допускается ввод не более 900 символов!" sqref="J124">
      <formula1>900</formula1>
    </dataValidation>
    <dataValidation allowBlank="1" showInputMessage="1" showErrorMessage="1" prompt="Выберите виды деятельности, выполнив двойной щелчок левой кнопки мыши по ячейке." sqref="G124"/>
    <dataValidation allowBlank="1" showInputMessage="1" showErrorMessage="1" prompt="Для выбора выполните двойной щелчок левой клавиши мыши по соответствующей ячейке." sqref="F1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 allowBlank="1" showInputMessage="1" showErrorMessage="1" prompt="Выберите виды деятельности, выполнив двойной щелчок левой кнопки мыши по ячейке." sqref="G123"/>
    <dataValidation allowBlank="1" showInputMessage="1" showErrorMessage="1" prompt="Для выбора выполните двойной щелчок левой клавиши мыши по соответствующей ячейке." sqref="F123"/>
    <dataValidation allowBlank="1" showInputMessage="1" showErrorMessage="1" prompt="Для выбора выполните двойной щелчок левой клавиши мыши по соответствующей ячейке." sqref="S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J122">
      <formula1>900</formula1>
    </dataValidation>
    <dataValidation allowBlank="1" showInputMessage="1" showErrorMessage="1" prompt="Выберите виды деятельности, выполнив двойной щелчок левой кнопки мыши по ячейке." sqref="G122"/>
    <dataValidation allowBlank="1" showInputMessage="1" showErrorMessage="1" prompt="Для выбора выполните двойной щелчок левой клавиши мыши по соответствующей ячейке." sqref="F122"/>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V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O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Выберите виды деятельности, выполнив двойной щелчок левой кнопки мыши по ячейке." sqref="G121"/>
    <dataValidation allowBlank="1" showInputMessage="1" showErrorMessage="1" prompt="Для выбора выполните двойной щелчок левой клавиши мыши по соответствующей ячейке." sqref="F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0"/>
    <dataValidation allowBlank="1" showInputMessage="1" showErrorMessage="1" prompt="Выберите виды деятельности, выполнив двойной щелчок левой кнопки мыши по ячейке." sqref="G120"/>
    <dataValidation allowBlank="1" showInputMessage="1" showErrorMessage="1" prompt="Для выбора выполните двойной щелчок левой клавиши мыши по соответствующей ячейке." sqref="F120"/>
    <dataValidation allowBlank="1" showInputMessage="1" showErrorMessage="1" prompt="Для выбора выполните двойной щелчок левой клавиши мыши по соответствующей ячейке." sqref="S119"/>
    <dataValidation type="textLength" operator="lessThanOrEqual" allowBlank="1" showInputMessage="1" showErrorMessage="1" errorTitle="Ошибка" error="Допускается ввод не более 900 символов!" sqref="R1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9"/>
    <dataValidation type="textLength" operator="lessThanOrEqual" allowBlank="1" showInputMessage="1" showErrorMessage="1" errorTitle="Ошибка" error="Допускается ввод не более 900 символов!" sqref="J119">
      <formula1>900</formula1>
    </dataValidation>
    <dataValidation allowBlank="1" showInputMessage="1" showErrorMessage="1" prompt="Выберите виды деятельности, выполнив двойной щелчок левой кнопки мыши по ячейке." sqref="G119"/>
    <dataValidation allowBlank="1" showInputMessage="1" showErrorMessage="1" prompt="Для выбора выполните двойной щелчок левой клавиши мыши по соответствующей ячейке." sqref="F119"/>
    <dataValidation type="textLength" operator="lessThanOrEqual" allowBlank="1" showInputMessage="1" showErrorMessage="1" errorTitle="Ошибка" error="Допускается ввод не более 900 символов!" sqref="W118">
      <formula1>900</formula1>
    </dataValidation>
    <dataValidation type="textLength" operator="lessThanOrEqual" allowBlank="1" showInputMessage="1" showErrorMessage="1" errorTitle="Ошибка" error="Допускается ввод не более 900 символов!" sqref="V118">
      <formula1>900</formula1>
    </dataValidation>
    <dataValidation allowBlank="1" showInputMessage="1" showErrorMessage="1" prompt="Для выбора выполните двойной щелчок левой клавиши мыши по соответствующей ячейке." sqref="S118"/>
    <dataValidation type="textLength" operator="lessThanOrEqual" allowBlank="1" showInputMessage="1" showErrorMessage="1" errorTitle="Ошибка" error="Допускается ввод не более 900 символов!" sqref="R118">
      <formula1>900</formula1>
    </dataValidation>
    <dataValidation allowBlank="1" showInputMessage="1" showErrorMessage="1" prompt="Для выбора выполните двойной щелчок левой клавиши мыши по соответствующей ячейке." sqref="O1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8"/>
    <dataValidation type="textLength" operator="lessThanOrEqual" allowBlank="1" showInputMessage="1" showErrorMessage="1" errorTitle="Ошибка" error="Допускается ввод не более 900 символов!" sqref="J118">
      <formula1>900</formula1>
    </dataValidation>
    <dataValidation allowBlank="1" showInputMessage="1" showErrorMessage="1" prompt="Выберите виды деятельности, выполнив двойной щелчок левой кнопки мыши по ячейке." sqref="G118"/>
    <dataValidation allowBlank="1" showInputMessage="1" showErrorMessage="1" prompt="Для выбора выполните двойной щелчок левой клавиши мыши по соответствующей ячейке." sqref="F1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7"/>
    <dataValidation allowBlank="1" showInputMessage="1" showErrorMessage="1" prompt="Выберите виды деятельности, выполнив двойной щелчок левой кнопки мыши по ячейке." sqref="G117"/>
    <dataValidation allowBlank="1" showInputMessage="1" showErrorMessage="1" prompt="Для выбора выполните двойной щелчок левой клавиши мыши по соответствующей ячейке." sqref="F117"/>
    <dataValidation allowBlank="1" showInputMessage="1" showErrorMessage="1" prompt="Для выбора выполните двойной щелчок левой клавиши мыши по соответствующей ячейке." sqref="S116"/>
    <dataValidation type="textLength" operator="lessThanOrEqual" allowBlank="1" showInputMessage="1" showErrorMessage="1" errorTitle="Ошибка" error="Допускается ввод не более 900 символов!" sqref="R11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6"/>
    <dataValidation type="textLength" operator="lessThanOrEqual" allowBlank="1" showInputMessage="1" showErrorMessage="1" errorTitle="Ошибка" error="Допускается ввод не более 900 символов!" sqref="J116">
      <formula1>900</formula1>
    </dataValidation>
    <dataValidation allowBlank="1" showInputMessage="1" showErrorMessage="1" prompt="Выберите виды деятельности, выполнив двойной щелчок левой кнопки мыши по ячейке." sqref="G116"/>
    <dataValidation allowBlank="1" showInputMessage="1" showErrorMessage="1" prompt="Для выбора выполните двойной щелчок левой клавиши мыши по соответствующей ячейке." sqref="F116"/>
    <dataValidation type="textLength" operator="lessThanOrEqual" allowBlank="1" showInputMessage="1" showErrorMessage="1" errorTitle="Ошибка" error="Допускается ввод не более 900 символов!" sqref="W115">
      <formula1>900</formula1>
    </dataValidation>
    <dataValidation type="textLength" operator="lessThanOrEqual" allowBlank="1" showInputMessage="1" showErrorMessage="1" errorTitle="Ошибка" error="Допускается ввод не более 900 символов!" sqref="V115">
      <formula1>900</formula1>
    </dataValidation>
    <dataValidation allowBlank="1" showInputMessage="1" showErrorMessage="1" prompt="Для выбора выполните двойной щелчок левой клавиши мыши по соответствующей ячейке." sqref="S115"/>
    <dataValidation type="textLength" operator="lessThanOrEqual" allowBlank="1" showInputMessage="1" showErrorMessage="1" errorTitle="Ошибка" error="Допускается ввод не более 900 символов!" sqref="R115">
      <formula1>900</formula1>
    </dataValidation>
    <dataValidation allowBlank="1" showInputMessage="1" showErrorMessage="1" prompt="Для выбора выполните двойной щелчок левой клавиши мыши по соответствующей ячейке." sqref="O11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5"/>
    <dataValidation type="textLength" operator="lessThanOrEqual" allowBlank="1" showInputMessage="1" showErrorMessage="1" errorTitle="Ошибка" error="Допускается ввод не более 900 символов!" sqref="J115">
      <formula1>900</formula1>
    </dataValidation>
    <dataValidation allowBlank="1" showInputMessage="1" showErrorMessage="1" prompt="Выберите виды деятельности, выполнив двойной щелчок левой кнопки мыши по ячейке." sqref="G115"/>
    <dataValidation allowBlank="1" showInputMessage="1" showErrorMessage="1" prompt="Для выбора выполните двойной щелчок левой клавиши мыши по соответствующей ячейке." sqref="F11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4"/>
    <dataValidation allowBlank="1" showInputMessage="1" showErrorMessage="1" prompt="Выберите виды деятельности, выполнив двойной щелчок левой кнопки мыши по ячейке." sqref="G114"/>
    <dataValidation allowBlank="1" showInputMessage="1" showErrorMessage="1" prompt="Для выбора выполните двойной щелчок левой клавиши мыши по соответствующей ячейке." sqref="F114"/>
    <dataValidation allowBlank="1" showInputMessage="1" showErrorMessage="1" prompt="Для выбора выполните двойной щелчок левой клавиши мыши по соответствующей ячейке." sqref="S113"/>
    <dataValidation type="textLength" operator="lessThanOrEqual" allowBlank="1" showInputMessage="1" showErrorMessage="1" errorTitle="Ошибка" error="Допускается ввод не более 900 символов!" sqref="R11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3"/>
    <dataValidation type="textLength" operator="lessThanOrEqual" allowBlank="1" showInputMessage="1" showErrorMessage="1" errorTitle="Ошибка" error="Допускается ввод не более 900 символов!" sqref="J113">
      <formula1>900</formula1>
    </dataValidation>
    <dataValidation allowBlank="1" showInputMessage="1" showErrorMessage="1" prompt="Выберите виды деятельности, выполнив двойной щелчок левой кнопки мыши по ячейке." sqref="G113"/>
    <dataValidation allowBlank="1" showInputMessage="1" showErrorMessage="1" prompt="Для выбора выполните двойной щелчок левой клавиши мыши по соответствующей ячейке." sqref="F113"/>
    <dataValidation type="textLength" operator="lessThanOrEqual" allowBlank="1" showInputMessage="1" showErrorMessage="1" errorTitle="Ошибка" error="Допускается ввод не более 900 символов!" sqref="W112">
      <formula1>900</formula1>
    </dataValidation>
    <dataValidation type="textLength" operator="lessThanOrEqual" allowBlank="1" showInputMessage="1" showErrorMessage="1" errorTitle="Ошибка" error="Допускается ввод не более 900 символов!" sqref="V112">
      <formula1>900</formula1>
    </dataValidation>
    <dataValidation allowBlank="1" showInputMessage="1" showErrorMessage="1" prompt="Для выбора выполните двойной щелчок левой клавиши мыши по соответствующей ячейке." sqref="S112"/>
    <dataValidation type="textLength" operator="lessThanOrEqual" allowBlank="1" showInputMessage="1" showErrorMessage="1" errorTitle="Ошибка" error="Допускается ввод не более 900 символов!" sqref="R112">
      <formula1>900</formula1>
    </dataValidation>
    <dataValidation allowBlank="1" showInputMessage="1" showErrorMessage="1" prompt="Для выбора выполните двойной щелчок левой клавиши мыши по соответствующей ячейке." sqref="O11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2"/>
    <dataValidation type="textLength" operator="lessThanOrEqual" allowBlank="1" showInputMessage="1" showErrorMessage="1" errorTitle="Ошибка" error="Допускается ввод не более 900 символов!" sqref="J112">
      <formula1>900</formula1>
    </dataValidation>
    <dataValidation allowBlank="1" showInputMessage="1" showErrorMessage="1" prompt="Выберите виды деятельности, выполнив двойной щелчок левой кнопки мыши по ячейке." sqref="G112"/>
    <dataValidation allowBlank="1" showInputMessage="1" showErrorMessage="1" prompt="Для выбора выполните двойной щелчок левой клавиши мыши по соответствующей ячейке." sqref="F11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1"/>
    <dataValidation allowBlank="1" showInputMessage="1" showErrorMessage="1" prompt="Выберите виды деятельности, выполнив двойной щелчок левой кнопки мыши по ячейке." sqref="G111"/>
    <dataValidation allowBlank="1" showInputMessage="1" showErrorMessage="1" prompt="Для выбора выполните двойной щелчок левой клавиши мыши по соответствующей ячейке." sqref="F111"/>
    <dataValidation allowBlank="1" showInputMessage="1" showErrorMessage="1" prompt="Для выбора выполните двойной щелчок левой клавиши мыши по соответствующей ячейке." sqref="S110"/>
    <dataValidation type="textLength" operator="lessThanOrEqual" allowBlank="1" showInputMessage="1" showErrorMessage="1" errorTitle="Ошибка" error="Допускается ввод не более 900 символов!" sqref="R11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0"/>
    <dataValidation type="textLength" operator="lessThanOrEqual" allowBlank="1" showInputMessage="1" showErrorMessage="1" errorTitle="Ошибка" error="Допускается ввод не более 900 символов!" sqref="J110">
      <formula1>900</formula1>
    </dataValidation>
    <dataValidation allowBlank="1" showInputMessage="1" showErrorMessage="1" prompt="Выберите виды деятельности, выполнив двойной щелчок левой кнопки мыши по ячейке." sqref="G110"/>
    <dataValidation allowBlank="1" showInputMessage="1" showErrorMessage="1" prompt="Для выбора выполните двойной щелчок левой клавиши мыши по соответствующей ячейке." sqref="F110"/>
    <dataValidation type="textLength" operator="lessThanOrEqual" allowBlank="1" showInputMessage="1" showErrorMessage="1" errorTitle="Ошибка" error="Допускается ввод не более 900 символов!" sqref="W109">
      <formula1>900</formula1>
    </dataValidation>
    <dataValidation type="textLength" operator="lessThanOrEqual" allowBlank="1" showInputMessage="1" showErrorMessage="1" errorTitle="Ошибка" error="Допускается ввод не более 900 символов!" sqref="V109">
      <formula1>900</formula1>
    </dataValidation>
    <dataValidation allowBlank="1" showInputMessage="1" showErrorMessage="1" prompt="Для выбора выполните двойной щелчок левой клавиши мыши по соответствующей ячейке." sqref="S109"/>
    <dataValidation type="textLength" operator="lessThanOrEqual" allowBlank="1" showInputMessage="1" showErrorMessage="1" errorTitle="Ошибка" error="Допускается ввод не более 900 символов!" sqref="R109">
      <formula1>900</formula1>
    </dataValidation>
    <dataValidation allowBlank="1" showInputMessage="1" showErrorMessage="1" prompt="Для выбора выполните двойной щелчок левой клавиши мыши по соответствующей ячейке." sqref="O10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9"/>
    <dataValidation type="textLength" operator="lessThanOrEqual" allowBlank="1" showInputMessage="1" showErrorMessage="1" errorTitle="Ошибка" error="Допускается ввод не более 900 символов!" sqref="J109">
      <formula1>900</formula1>
    </dataValidation>
    <dataValidation allowBlank="1" showInputMessage="1" showErrorMessage="1" prompt="Выберите виды деятельности, выполнив двойной щелчок левой кнопки мыши по ячейке." sqref="G109"/>
    <dataValidation allowBlank="1" showInputMessage="1" showErrorMessage="1" prompt="Для выбора выполните двойной щелчок левой клавиши мыши по соответствующей ячейке." sqref="F10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8"/>
    <dataValidation allowBlank="1" showInputMessage="1" showErrorMessage="1" prompt="Выберите виды деятельности, выполнив двойной щелчок левой кнопки мыши по ячейке." sqref="G108"/>
    <dataValidation allowBlank="1" showInputMessage="1" showErrorMessage="1" prompt="Для выбора выполните двойной щелчок левой клавиши мыши по соответствующей ячейке." sqref="F108"/>
    <dataValidation allowBlank="1" showInputMessage="1" showErrorMessage="1" prompt="Для выбора выполните двойной щелчок левой клавиши мыши по соответствующей ячейке." sqref="S107"/>
    <dataValidation type="textLength" operator="lessThanOrEqual" allowBlank="1" showInputMessage="1" showErrorMessage="1" errorTitle="Ошибка" error="Допускается ввод не более 900 символов!" sqref="R10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type="textLength" operator="lessThanOrEqual" allowBlank="1" showInputMessage="1" showErrorMessage="1" errorTitle="Ошибка" error="Допускается ввод не более 900 символов!" sqref="J107">
      <formula1>900</formula1>
    </dataValidation>
    <dataValidation allowBlank="1" showInputMessage="1" showErrorMessage="1" prompt="Выберите виды деятельности, выполнив двойной щелчок левой кнопки мыши по ячейке." sqref="G107"/>
    <dataValidation allowBlank="1" showInputMessage="1" showErrorMessage="1" prompt="Для выбора выполните двойной щелчок левой клавиши мыши по соответствующей ячейке." sqref="F107"/>
    <dataValidation type="textLength" operator="lessThanOrEqual" allowBlank="1" showInputMessage="1" showErrorMessage="1" errorTitle="Ошибка" error="Допускается ввод не более 900 символов!" sqref="W106">
      <formula1>900</formula1>
    </dataValidation>
    <dataValidation type="textLength" operator="lessThanOrEqual" allowBlank="1" showInputMessage="1" showErrorMessage="1" errorTitle="Ошибка" error="Допускается ввод не более 900 символов!" sqref="V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O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Выберите виды деятельности, выполнив двойной щелчок левой кнопки мыши по ячейке." sqref="G106"/>
    <dataValidation allowBlank="1" showInputMessage="1" showErrorMessage="1" prompt="Для выбора выполните двойной щелчок левой клавиши мыши по соответствующей ячейке." sqref="F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Выберите виды деятельности, выполнив двойной щелчок левой кнопки мыши по ячейке." sqref="G105"/>
    <dataValidation allowBlank="1" showInputMessage="1" showErrorMessage="1" prompt="Для выбора выполните двойной щелчок левой клавиши мыши по соответствующей ячейке." sqref="F105"/>
    <dataValidation allowBlank="1" showInputMessage="1" showErrorMessage="1" prompt="Для выбора выполните двойной щелчок левой клавиши мыши по соответствующей ячейке." sqref="S104"/>
    <dataValidation type="textLength" operator="lessThanOrEqual" allowBlank="1" showInputMessage="1" showErrorMessage="1" errorTitle="Ошибка" error="Допускается ввод не более 900 символов!" sqref="R10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4"/>
    <dataValidation type="textLength" operator="lessThanOrEqual" allowBlank="1" showInputMessage="1" showErrorMessage="1" errorTitle="Ошибка" error="Допускается ввод не более 900 символов!" sqref="J104">
      <formula1>900</formula1>
    </dataValidation>
    <dataValidation allowBlank="1" showInputMessage="1" showErrorMessage="1" prompt="Выберите виды деятельности, выполнив двойной щелчок левой кнопки мыши по ячейке." sqref="G104"/>
    <dataValidation allowBlank="1" showInputMessage="1" showErrorMessage="1" prompt="Для выбора выполните двойной щелчок левой клавиши мыши по соответствующей ячейке." sqref="F104"/>
    <dataValidation type="textLength" operator="lessThanOrEqual" allowBlank="1" showInputMessage="1" showErrorMessage="1" errorTitle="Ошибка" error="Допускается ввод не более 900 символов!" sqref="W103">
      <formula1>900</formula1>
    </dataValidation>
    <dataValidation type="textLength" operator="lessThanOrEqual" allowBlank="1" showInputMessage="1" showErrorMessage="1" errorTitle="Ошибка" error="Допускается ввод не более 900 символов!" sqref="V103">
      <formula1>900</formula1>
    </dataValidation>
    <dataValidation allowBlank="1" showInputMessage="1" showErrorMessage="1" prompt="Для выбора выполните двойной щелчок левой клавиши мыши по соответствующей ячейке." sqref="S103"/>
    <dataValidation type="textLength" operator="lessThanOrEqual" allowBlank="1" showInputMessage="1" showErrorMessage="1" errorTitle="Ошибка" error="Допускается ввод не более 900 символов!" sqref="R103">
      <formula1>900</formula1>
    </dataValidation>
    <dataValidation allowBlank="1" showInputMessage="1" showErrorMessage="1" prompt="Для выбора выполните двойной щелчок левой клавиши мыши по соответствующей ячейке." sqref="O10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3"/>
    <dataValidation type="textLength" operator="lessThanOrEqual" allowBlank="1" showInputMessage="1" showErrorMessage="1" errorTitle="Ошибка" error="Допускается ввод не более 900 символов!" sqref="J103">
      <formula1>900</formula1>
    </dataValidation>
    <dataValidation allowBlank="1" showInputMessage="1" showErrorMessage="1" prompt="Выберите виды деятельности, выполнив двойной щелчок левой кнопки мыши по ячейке." sqref="G103"/>
    <dataValidation allowBlank="1" showInputMessage="1" showErrorMessage="1" prompt="Для выбора выполните двойной щелчок левой клавиши мыши по соответствующей ячейке." sqref="F103"/>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44:O145 S144:S145 K144:K145 S94:S95 K160:K161 O160:O161 K155:K156 O155:O156 S160:S161 S155:S156 O53:O54 S53:S54 K53:K54 K58:K59 O58:O59 S58:S59 F74:F98 K94:K95 O94:O95 F100:F102 F142:F153 F155:F169 S165:S166 K165:K166 O165:O166"/>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44:J145 R144:R145 V144:W144 J160:J161 R160:R161 V160:W160 J155:J156 R155:R156 V155:W155 J53:J54 R53:R54 V53:W53 J58:J59 R58:R59 V58:W58 J94:J95 R94:R95 V94:W94 J165:J166 R165:R166 V165:W165">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44:N146 N160:N162 N155:N157 N53:N55 N58:N60 N94:N96 N165:N167">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02 G142:G153 G13:G62 G74:G98 G155:G169"/>
    <dataValidation type="textLength" operator="lessThanOrEqual" allowBlank="1" showInputMessage="1" showErrorMessage="1" errorTitle="Ошибка" error="Допускается ввод не более 900 символов!" sqref="J149">
      <formula1>900</formula1>
    </dataValidation>
    <dataValidation allowBlank="1" showInputMessage="1" showErrorMessage="1" prompt="Для выбора выполните двойной щелчок левой клавиши мыши по соответствующей ячейке." sqref="K14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49"/>
    <dataValidation type="textLength" operator="lessThanOrEqual" allowBlank="1" showInputMessage="1" showErrorMessage="1" errorTitle="Ошибка" error="Допускается ввод не более 900 символов!" sqref="R149">
      <formula1>900</formula1>
    </dataValidation>
    <dataValidation allowBlank="1" showInputMessage="1" showErrorMessage="1" prompt="Для выбора выполните двойной щелчок левой клавиши мыши по соответствующей ячейке." sqref="S149"/>
    <dataValidation type="textLength" operator="lessThanOrEqual" allowBlank="1" showInputMessage="1" showErrorMessage="1" errorTitle="Ошибка" error="Допускается ввод не более 900 символов!" sqref="V149">
      <formula1>900</formula1>
    </dataValidation>
    <dataValidation type="textLength" operator="lessThanOrEqual" allowBlank="1" showInputMessage="1" showErrorMessage="1" errorTitle="Ошибка" error="Допускается ввод не более 900 символов!" sqref="W149">
      <formula1>900</formula1>
    </dataValidation>
    <dataValidation type="textLength" operator="lessThanOrEqual" allowBlank="1" showInputMessage="1" showErrorMessage="1" errorTitle="Ошибка" error="Допускается ввод не более 900 символов!" sqref="J150">
      <formula1>900</formula1>
    </dataValidation>
    <dataValidation allowBlank="1" showInputMessage="1" showErrorMessage="1" prompt="Для выбора выполните двойной щелчок левой клавиши мыши по соответствующей ячейке." sqref="K15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50"/>
    <dataValidation type="textLength" operator="lessThanOrEqual" allowBlank="1" showInputMessage="1" showErrorMessage="1" errorTitle="Ошибка" error="Допускается ввод не более 900 символов!" sqref="R150">
      <formula1>900</formula1>
    </dataValidation>
    <dataValidation allowBlank="1" showInputMessage="1" showErrorMessage="1" prompt="Для выбора выполните двойной щелчок левой клавиши мыши по соответствующей ячейке." sqref="S15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1">
      <formula1>DESCRIPTION_TERRITORY</formula1>
    </dataValidation>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Для выбора выполните двойной щелчок левой клавиши мыши по соответствующей ячейке." sqref="K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allowBlank="1" showInputMessage="1" showErrorMessage="1" prompt="Для выбора выполните двойной щелчок левой клавиши мыши по соответствующей ячейке." sqref="O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V100">
      <formula1>900</formula1>
    </dataValidation>
    <dataValidation type="textLength" operator="lessThanOrEqual" allowBlank="1" showInputMessage="1" showErrorMessage="1" errorTitle="Ошибка" error="Допускается ввод не более 900 символов!" sqref="W100">
      <formula1>900</formula1>
    </dataValidation>
    <dataValidation type="textLength" operator="lessThanOrEqual" allowBlank="1" showInputMessage="1" showErrorMessage="1" errorTitle="Ошибка" error="Допускается ввод не более 900 символов!" sqref="J10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type="textLength" operator="lessThanOrEqual" allowBlank="1" showInputMessage="1" showErrorMessage="1" errorTitle="Ошибка" error="Допускается ввод не более 900 символов!" sqref="R101">
      <formula1>900</formula1>
    </dataValidation>
    <dataValidation allowBlank="1" showInputMessage="1" showErrorMessage="1" prompt="Для выбора выполните двойной щелчок левой клавиши мыши по соответствующей ячейке." sqref="S10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2"/>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41F55E-F353-C10E-DAE5-C00A287C5AA8}"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16253" width="9.140625" hidden="1"/>
    <col min="3" max="4" style="16253" width="3.7109375" customWidth="1"/>
    <col min="5" max="6" style="16253" width="16.00390625" customWidth="1"/>
    <col min="7" max="7" style="16253" width="11.57421875" customWidth="1"/>
    <col min="8" max="9" style="16253" width="3.7109375" customWidth="1"/>
    <col min="10" max="10" style="16253" width="13.140625" customWidth="1"/>
    <col min="11" max="11" style="16253" width="0.28125" customWidth="1"/>
    <col min="12" max="13" style="16253" width="10.7109375" customWidth="1"/>
    <col min="14" max="15" style="16253" width="3.7109375" customWidth="1"/>
    <col min="16" max="16" style="16253" width="19.7109375" customWidth="1"/>
    <col min="17" max="17" style="16253" width="0.28125" customWidth="1"/>
    <col min="18" max="19" style="16253" width="10.7109375" customWidth="1"/>
    <col min="20" max="21" style="16253" width="3.7109375" customWidth="1"/>
    <col min="22" max="22" style="16253" width="25.7109375" customWidth="1"/>
    <col min="23" max="23" style="16253" width="0.28125" customWidth="1"/>
    <col min="24" max="25" style="16253" width="10.7109375" customWidth="1"/>
    <col min="26" max="27" style="16253" width="3.7109375" customWidth="1"/>
    <col min="28" max="28" style="16253" width="16.421875" customWidth="1"/>
    <col min="29" max="29" style="16253" width="0.28125" customWidth="1"/>
    <col min="30" max="31" style="16253" width="10.7109375" customWidth="1"/>
    <col min="32" max="33" style="16253" width="3.7109375" customWidth="1"/>
    <col min="34" max="34" style="16253" width="8.7109375" customWidth="1"/>
    <col min="35" max="35" style="16253" width="21.7109375" customWidth="1"/>
    <col min="36" max="36" style="15824" width="9.140625"/>
    <col min="37" max="37" style="16254" width="9.140625"/>
    <col min="38" max="64" style="15824" width="9.140625"/>
  </cols>
  <sheetData>
    <row s="16179" customFormat="1" customHeight="1" ht="11.25" hidden="1">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row>
    <row s="16180" customFormat="1" customHeight="1" ht="11.25" hidden="1">
      <c r="L2" s="1780" t="s">
        <v>385</v>
      </c>
      <c r="M2" s="1780" t="s">
        <v>386</v>
      </c>
      <c r="R2" s="1780" t="s">
        <v>387</v>
      </c>
      <c r="S2" s="1780" t="s">
        <v>386</v>
      </c>
      <c r="X2" s="1780" t="s">
        <v>385</v>
      </c>
      <c r="Y2" s="1780" t="s">
        <v>386</v>
      </c>
      <c r="AD2" s="1780" t="s">
        <v>385</v>
      </c>
      <c r="AE2" s="1780" t="s">
        <v>386</v>
      </c>
      <c r="AJ2" s="1802"/>
      <c r="AK2" s="1802"/>
      <c r="AL2" s="1802"/>
      <c r="AM2" s="1802"/>
      <c r="AN2" s="1802"/>
      <c r="AO2" s="1802"/>
      <c r="AP2" s="1802"/>
      <c r="AQ2" s="1802"/>
      <c r="AR2" s="1802"/>
      <c r="AS2" s="1802"/>
      <c r="AT2" s="1802"/>
      <c r="AU2" s="1802"/>
      <c r="AV2" s="1802"/>
      <c r="AW2" s="1802"/>
      <c r="AX2" s="1802"/>
      <c r="AY2" s="1802"/>
      <c r="AZ2" s="1802"/>
      <c r="BA2" s="1802"/>
      <c r="BB2" s="1802"/>
      <c r="BC2" s="1802"/>
      <c r="BD2" s="1802"/>
      <c r="BE2" s="1802"/>
      <c r="BF2" s="1802"/>
      <c r="BG2" s="1802"/>
      <c r="BH2" s="1802"/>
      <c r="BI2" s="1802"/>
      <c r="BJ2" s="1802"/>
      <c r="BK2" s="1802"/>
      <c r="BL2" s="1802"/>
    </row>
    <row s="16183" customFormat="1" customHeight="1" ht="11.25">
      <c r="AJ3" s="1801"/>
      <c r="AK3" s="528"/>
      <c r="AL3" s="1801"/>
      <c r="AM3" s="1801"/>
      <c r="AN3" s="1801"/>
      <c r="AO3" s="1801"/>
      <c r="AP3" s="1801"/>
      <c r="AQ3" s="1801"/>
      <c r="AR3" s="1801"/>
      <c r="AS3" s="1801"/>
      <c r="AT3" s="1801"/>
      <c r="AU3" s="1801"/>
      <c r="AV3" s="1801"/>
      <c r="AW3" s="1801"/>
      <c r="AX3" s="1801"/>
      <c r="AY3" s="1801"/>
      <c r="AZ3" s="1801"/>
      <c r="BA3" s="1801"/>
      <c r="BB3" s="1801"/>
      <c r="BC3" s="1801"/>
      <c r="BD3" s="1801"/>
      <c r="BE3" s="1801"/>
      <c r="BF3" s="1801"/>
      <c r="BG3" s="1801"/>
      <c r="BH3" s="1801"/>
      <c r="BI3" s="1801"/>
      <c r="BJ3" s="1801"/>
      <c r="BK3" s="1801"/>
      <c r="BL3" s="1801"/>
    </row>
    <row s="15815" customFormat="1" customHeight="1" ht="33">
      <c r="A4" s="1380"/>
      <c r="B4" s="1379"/>
      <c r="C4" s="1742"/>
      <c r="D4" s="2309" t="s">
        <v>388</v>
      </c>
      <c r="E4" s="2309"/>
      <c r="F4" s="2309"/>
      <c r="G4" s="2309"/>
      <c r="H4" s="2309"/>
      <c r="I4" s="2309"/>
      <c r="J4" s="2309"/>
      <c r="K4" s="921"/>
      <c r="T4" s="1782"/>
      <c r="AJ4" s="1803"/>
      <c r="AK4" s="1804"/>
      <c r="AL4" s="1803"/>
      <c r="AM4" s="1803"/>
      <c r="AN4" s="1803"/>
      <c r="AO4" s="1803"/>
      <c r="AP4" s="1803"/>
      <c r="AQ4" s="1803"/>
      <c r="AR4" s="1803"/>
      <c r="AS4" s="1803"/>
      <c r="AT4" s="1803"/>
      <c r="AU4" s="1803"/>
      <c r="AV4" s="1803"/>
      <c r="AW4" s="1803"/>
      <c r="AX4" s="1803"/>
      <c r="AY4" s="1803"/>
      <c r="AZ4" s="1803"/>
      <c r="BA4" s="1803"/>
      <c r="BB4" s="1803"/>
      <c r="BC4" s="1803"/>
      <c r="BD4" s="1803"/>
      <c r="BE4" s="1803"/>
      <c r="BF4" s="1803"/>
      <c r="BG4" s="1803"/>
      <c r="BH4" s="1803"/>
      <c r="BI4" s="1803"/>
      <c r="BJ4" s="1803"/>
      <c r="BK4" s="1803"/>
      <c r="BL4" s="1803"/>
    </row>
    <row s="16194" customFormat="1" customHeight="1" ht="14.25">
      <c r="A5" s="1859"/>
      <c r="B5" s="1858"/>
      <c r="C5" s="1742"/>
      <c r="D5" s="2335" t="str">
        <f>IF(org=0,"Не определено",org)</f>
        <v>КГУП "Примтеплоэнерго"</v>
      </c>
      <c r="E5" s="2335"/>
      <c r="F5" s="2335"/>
      <c r="G5" s="2335"/>
      <c r="H5" s="2335"/>
      <c r="I5" s="2335"/>
      <c r="J5" s="2335"/>
      <c r="K5" s="921"/>
      <c r="T5" s="1782"/>
      <c r="AJ5" s="1803"/>
      <c r="AK5" s="1804"/>
      <c r="AL5" s="1803"/>
      <c r="AM5" s="1803"/>
      <c r="AN5" s="1803"/>
      <c r="AO5" s="1803"/>
      <c r="AP5" s="1803"/>
      <c r="AQ5" s="1803"/>
      <c r="AR5" s="1803"/>
      <c r="AS5" s="1803"/>
      <c r="AT5" s="1803"/>
      <c r="AU5" s="1803"/>
      <c r="AV5" s="1803"/>
      <c r="AW5" s="1803"/>
      <c r="AX5" s="1803"/>
      <c r="AY5" s="1803"/>
      <c r="AZ5" s="1803"/>
      <c r="BA5" s="1803"/>
      <c r="BB5" s="1803"/>
      <c r="BC5" s="1803"/>
      <c r="BD5" s="1803"/>
      <c r="BE5" s="1803"/>
      <c r="BF5" s="1803"/>
      <c r="BG5" s="1803"/>
      <c r="BH5" s="1803"/>
      <c r="BI5" s="1803"/>
      <c r="BJ5" s="1803"/>
      <c r="BK5" s="1803"/>
      <c r="BL5" s="1803"/>
    </row>
    <row s="15815" customFormat="1" customHeight="1" ht="14.25">
      <c r="A6" s="1380"/>
      <c r="B6" s="1379"/>
      <c r="C6" s="1742"/>
      <c r="D6" s="921"/>
      <c r="E6" s="921"/>
      <c r="F6" s="921"/>
      <c r="G6" s="921"/>
      <c r="H6" s="921"/>
      <c r="I6" s="921"/>
      <c r="J6" s="921"/>
      <c r="K6" s="921"/>
      <c r="T6" s="1782"/>
      <c r="AJ6" s="1803"/>
      <c r="AK6" s="1804"/>
      <c r="AL6" s="1803"/>
      <c r="AM6" s="1803"/>
      <c r="AN6" s="1803"/>
      <c r="AO6" s="1803"/>
      <c r="AP6" s="1803"/>
      <c r="AQ6" s="1803"/>
      <c r="AR6" s="1803"/>
      <c r="AS6" s="1803"/>
      <c r="AT6" s="1803"/>
      <c r="AU6" s="1803"/>
      <c r="AV6" s="1803"/>
      <c r="AW6" s="1803"/>
      <c r="AX6" s="1803"/>
      <c r="AY6" s="1803"/>
      <c r="AZ6" s="1803"/>
      <c r="BA6" s="1803"/>
      <c r="BB6" s="1803"/>
      <c r="BC6" s="1803"/>
      <c r="BD6" s="1803"/>
      <c r="BE6" s="1803"/>
      <c r="BF6" s="1803"/>
      <c r="BG6" s="1803"/>
      <c r="BH6" s="1803"/>
      <c r="BI6" s="1803"/>
      <c r="BJ6" s="1803"/>
      <c r="BK6" s="1803"/>
      <c r="BL6" s="1803"/>
    </row>
    <row s="16179" customFormat="1" customHeight="1" ht="0.75">
      <c r="AJ7" s="644"/>
      <c r="AK7" s="644"/>
      <c r="AL7" s="644"/>
      <c r="AM7" s="644"/>
      <c r="AN7" s="644"/>
      <c r="AO7" s="644"/>
      <c r="AP7" s="644"/>
      <c r="AQ7" s="644"/>
      <c r="AR7" s="644"/>
      <c r="AS7" s="644"/>
      <c r="AT7" s="644"/>
      <c r="AU7" s="644"/>
      <c r="AV7" s="644"/>
      <c r="AW7" s="644"/>
      <c r="AX7" s="644"/>
      <c r="AY7" s="644"/>
      <c r="AZ7" s="644"/>
      <c r="BA7" s="644"/>
      <c r="BB7" s="644"/>
      <c r="BC7" s="644"/>
      <c r="BD7" s="644"/>
      <c r="BE7" s="644"/>
      <c r="BF7" s="644"/>
      <c r="BG7" s="644"/>
      <c r="BH7" s="644"/>
      <c r="BI7" s="644"/>
      <c r="BJ7" s="644"/>
      <c r="BK7" s="644"/>
      <c r="BL7" s="644"/>
    </row>
    <row customHeight="1" ht="31.5">
      <c r="D8" s="2253" t="s">
        <v>84</v>
      </c>
      <c r="E8" s="2253" t="s">
        <v>164</v>
      </c>
      <c r="F8" s="2311" t="s">
        <v>178</v>
      </c>
      <c r="G8" s="2312"/>
      <c r="H8" s="2311" t="s">
        <v>84</v>
      </c>
      <c r="I8" s="2312"/>
      <c r="J8" s="2253" t="s">
        <v>179</v>
      </c>
      <c r="K8" s="1783"/>
      <c r="L8" s="2315" t="s">
        <v>389</v>
      </c>
      <c r="M8" s="2315"/>
      <c r="N8" s="2315"/>
      <c r="O8" s="2315"/>
      <c r="P8" s="2315"/>
      <c r="Q8" s="1784"/>
      <c r="R8" s="2232" t="s">
        <v>390</v>
      </c>
      <c r="S8" s="2316"/>
      <c r="T8" s="2316"/>
      <c r="U8" s="2316"/>
      <c r="V8" s="2316"/>
      <c r="W8" s="1784"/>
      <c r="X8" s="2317" t="s">
        <v>391</v>
      </c>
      <c r="Y8" s="2317"/>
      <c r="Z8" s="2317"/>
      <c r="AA8" s="2317"/>
      <c r="AB8" s="2317"/>
      <c r="AC8" s="1785"/>
      <c r="AD8" s="2253" t="s">
        <v>392</v>
      </c>
      <c r="AE8" s="2253"/>
      <c r="AF8" s="2253"/>
      <c r="AG8" s="2253"/>
      <c r="AH8" s="2237"/>
      <c r="AI8" s="2253" t="s">
        <v>393</v>
      </c>
      <c r="AJ8" s="1801"/>
    </row>
    <row customHeight="1" ht="22.5">
      <c r="D9" s="2253"/>
      <c r="E9" s="2253"/>
      <c r="F9" s="2310" t="s">
        <v>85</v>
      </c>
      <c r="G9" s="2310" t="s">
        <v>184</v>
      </c>
      <c r="H9" s="2313"/>
      <c r="I9" s="2314"/>
      <c r="J9" s="2237"/>
      <c r="K9" s="1786"/>
      <c r="L9" s="2253" t="s">
        <v>394</v>
      </c>
      <c r="M9" s="2237"/>
      <c r="N9" s="2311" t="s">
        <v>84</v>
      </c>
      <c r="O9" s="2312"/>
      <c r="P9" s="2253" t="s">
        <v>185</v>
      </c>
      <c r="Q9" s="1783"/>
      <c r="R9" s="2253" t="s">
        <v>394</v>
      </c>
      <c r="S9" s="2237"/>
      <c r="T9" s="2311" t="s">
        <v>84</v>
      </c>
      <c r="U9" s="2312"/>
      <c r="V9" s="2253" t="s">
        <v>185</v>
      </c>
      <c r="W9" s="1783"/>
      <c r="X9" s="2253" t="s">
        <v>394</v>
      </c>
      <c r="Y9" s="2237"/>
      <c r="Z9" s="2311" t="s">
        <v>84</v>
      </c>
      <c r="AA9" s="2312"/>
      <c r="AB9" s="2253" t="s">
        <v>395</v>
      </c>
      <c r="AC9" s="1783"/>
      <c r="AD9" s="2253" t="s">
        <v>394</v>
      </c>
      <c r="AE9" s="2237"/>
      <c r="AF9" s="2311" t="s">
        <v>84</v>
      </c>
      <c r="AG9" s="2312"/>
      <c r="AH9" s="2237" t="s">
        <v>395</v>
      </c>
      <c r="AI9" s="2253"/>
      <c r="AJ9" s="1801"/>
    </row>
    <row customHeight="1" ht="22.5">
      <c r="D10" s="2310"/>
      <c r="E10" s="2310"/>
      <c r="F10" s="2318"/>
      <c r="G10" s="2318"/>
      <c r="H10" s="2319"/>
      <c r="I10" s="2320"/>
      <c r="J10" s="2311"/>
      <c r="K10" s="1786"/>
      <c r="L10" s="1805" t="s">
        <v>396</v>
      </c>
      <c r="M10" s="1800" t="s">
        <v>397</v>
      </c>
      <c r="N10" s="2313"/>
      <c r="O10" s="2314"/>
      <c r="P10" s="2310"/>
      <c r="Q10" s="1783"/>
      <c r="R10" s="1805" t="s">
        <v>396</v>
      </c>
      <c r="S10" s="1800" t="s">
        <v>397</v>
      </c>
      <c r="T10" s="2313"/>
      <c r="U10" s="2314"/>
      <c r="V10" s="2310"/>
      <c r="W10" s="1783"/>
      <c r="X10" s="1805" t="s">
        <v>396</v>
      </c>
      <c r="Y10" s="1800" t="s">
        <v>397</v>
      </c>
      <c r="Z10" s="2313"/>
      <c r="AA10" s="2314"/>
      <c r="AB10" s="2310"/>
      <c r="AC10" s="1783"/>
      <c r="AD10" s="1805" t="s">
        <v>396</v>
      </c>
      <c r="AE10" s="1800" t="s">
        <v>397</v>
      </c>
      <c r="AF10" s="2313"/>
      <c r="AG10" s="2314"/>
      <c r="AH10" s="2311"/>
      <c r="AI10" s="2310"/>
      <c r="AJ10" s="1801"/>
      <c r="AK10" s="476" t="s">
        <v>398</v>
      </c>
      <c r="AL10" s="476" t="s">
        <v>186</v>
      </c>
    </row>
    <row customHeight="1" ht="14.25">
      <c r="D11" s="2321" t="s">
        <v>168</v>
      </c>
      <c r="E11" s="2323" t="s">
        <v>399</v>
      </c>
      <c r="F11" s="2323" t="s">
        <v>400</v>
      </c>
      <c r="G11" s="2326" t="s">
        <v>53</v>
      </c>
      <c r="H11" s="1826"/>
      <c r="I11" s="2328"/>
      <c r="J11" s="2288"/>
      <c r="K11" s="1741"/>
      <c r="L11" s="2271"/>
      <c r="M11" s="2271"/>
      <c r="N11" s="1811"/>
      <c r="O11" s="2271"/>
      <c r="P11" s="2288"/>
      <c r="Q11" s="1812"/>
      <c r="R11" s="2271"/>
      <c r="S11" s="2271"/>
      <c r="T11" s="1813"/>
      <c r="U11" s="2271"/>
      <c r="V11" s="2288"/>
      <c r="W11" s="1814"/>
      <c r="X11" s="2271"/>
      <c r="Y11" s="2271"/>
      <c r="Z11" s="1811"/>
      <c r="AA11" s="2271"/>
      <c r="AB11" s="2288"/>
      <c r="AC11" s="1815"/>
      <c r="AD11" s="2271"/>
      <c r="AE11" s="2271"/>
      <c r="AF11" s="1740"/>
      <c r="AG11" s="1740"/>
      <c r="AH11" s="1816"/>
      <c r="AI11" s="1523"/>
      <c r="AJ11" s="1801"/>
    </row>
    <row customHeight="1" ht="14.25">
      <c r="D12" s="2321"/>
      <c r="E12" s="2323"/>
      <c r="F12" s="2323"/>
      <c r="G12" s="2327"/>
      <c r="H12" s="1827"/>
      <c r="I12" s="2329"/>
      <c r="J12" s="2289"/>
      <c r="K12" s="1837"/>
      <c r="L12" s="2272"/>
      <c r="M12" s="2272"/>
      <c r="N12" s="1817"/>
      <c r="O12" s="2272"/>
      <c r="P12" s="2289"/>
      <c r="Q12" s="1818"/>
      <c r="R12" s="2272"/>
      <c r="S12" s="2272"/>
      <c r="T12" s="1819"/>
      <c r="U12" s="2272"/>
      <c r="V12" s="2289"/>
      <c r="W12" s="1820"/>
      <c r="X12" s="2272"/>
      <c r="Y12" s="2272"/>
      <c r="Z12" s="1817"/>
      <c r="AA12" s="2272"/>
      <c r="AB12" s="2289"/>
      <c r="AC12" s="1821"/>
      <c r="AD12" s="2272"/>
      <c r="AE12" s="2272"/>
      <c r="AF12" s="1822"/>
      <c r="AG12" s="1822"/>
      <c r="AH12" s="2332"/>
      <c r="AI12" s="2333"/>
      <c r="AJ12" s="1801"/>
    </row>
    <row customHeight="1" ht="14.25">
      <c r="D13" s="2321"/>
      <c r="E13" s="2323"/>
      <c r="F13" s="2323"/>
      <c r="G13" s="2327"/>
      <c r="H13" s="1827"/>
      <c r="I13" s="2329"/>
      <c r="J13" s="2289"/>
      <c r="K13" s="1837"/>
      <c r="L13" s="2272"/>
      <c r="M13" s="2272"/>
      <c r="N13" s="1817"/>
      <c r="O13" s="2272"/>
      <c r="P13" s="2289"/>
      <c r="Q13" s="1818"/>
      <c r="R13" s="2272"/>
      <c r="S13" s="2272"/>
      <c r="T13" s="1819"/>
      <c r="U13" s="2272"/>
      <c r="V13" s="2289"/>
      <c r="W13" s="1820"/>
      <c r="X13" s="2272"/>
      <c r="Y13" s="2272"/>
      <c r="Z13" s="1739"/>
      <c r="AA13" s="1822"/>
      <c r="AB13" s="2332"/>
      <c r="AC13" s="2332"/>
      <c r="AD13" s="2332"/>
      <c r="AE13" s="2332"/>
      <c r="AF13" s="2332"/>
      <c r="AG13" s="2332"/>
      <c r="AH13" s="2332"/>
      <c r="AI13" s="2333"/>
      <c r="AJ13" s="1801"/>
    </row>
    <row customHeight="1" ht="14.25">
      <c r="D14" s="2321"/>
      <c r="E14" s="2323"/>
      <c r="F14" s="2323"/>
      <c r="G14" s="2327"/>
      <c r="H14" s="1827"/>
      <c r="I14" s="2329"/>
      <c r="J14" s="2289"/>
      <c r="K14" s="1837"/>
      <c r="L14" s="2272"/>
      <c r="M14" s="2272"/>
      <c r="N14" s="1817"/>
      <c r="O14" s="2272"/>
      <c r="P14" s="2289"/>
      <c r="Q14" s="1818"/>
      <c r="R14" s="2272"/>
      <c r="S14" s="2272"/>
      <c r="T14" s="1823"/>
      <c r="U14" s="1824"/>
      <c r="V14" s="2332"/>
      <c r="W14" s="2332"/>
      <c r="X14" s="2332"/>
      <c r="Y14" s="2332"/>
      <c r="Z14" s="2332"/>
      <c r="AA14" s="2332"/>
      <c r="AB14" s="2332"/>
      <c r="AC14" s="2332"/>
      <c r="AD14" s="2332"/>
      <c r="AE14" s="2332"/>
      <c r="AF14" s="2332"/>
      <c r="AG14" s="2332"/>
      <c r="AH14" s="2332"/>
      <c r="AI14" s="2333"/>
      <c r="AJ14" s="1801"/>
    </row>
    <row customHeight="1" ht="11.25">
      <c r="D15" s="2321"/>
      <c r="E15" s="2323"/>
      <c r="F15" s="2323"/>
      <c r="G15" s="2327"/>
      <c r="H15" s="1828"/>
      <c r="I15" s="2329"/>
      <c r="J15" s="2289"/>
      <c r="K15" s="1837"/>
      <c r="L15" s="2272"/>
      <c r="M15" s="2272"/>
      <c r="N15" s="1822"/>
      <c r="O15" s="1822"/>
      <c r="P15" s="2332"/>
      <c r="Q15" s="2332"/>
      <c r="R15" s="2332"/>
      <c r="S15" s="2332"/>
      <c r="T15" s="2332"/>
      <c r="U15" s="2332"/>
      <c r="V15" s="2332"/>
      <c r="W15" s="2332"/>
      <c r="X15" s="2332"/>
      <c r="Y15" s="2332"/>
      <c r="Z15" s="2332"/>
      <c r="AA15" s="2332"/>
      <c r="AB15" s="2332"/>
      <c r="AC15" s="2332"/>
      <c r="AD15" s="2332"/>
      <c r="AE15" s="2332"/>
      <c r="AF15" s="2332"/>
      <c r="AG15" s="2332"/>
      <c r="AH15" s="2332"/>
      <c r="AI15" s="2333"/>
      <c r="AJ15" s="1801"/>
    </row>
    <row s="16183" customFormat="1" customHeight="1" ht="11.25">
      <c r="D16" s="2322"/>
      <c r="E16" s="2324"/>
      <c r="F16" s="2325"/>
      <c r="G16" s="2268"/>
      <c r="H16" s="1825"/>
      <c r="I16" s="1829"/>
      <c r="J16" s="2330"/>
      <c r="K16" s="2330"/>
      <c r="L16" s="2330"/>
      <c r="M16" s="2330"/>
      <c r="N16" s="2330"/>
      <c r="O16" s="2330"/>
      <c r="P16" s="2330"/>
      <c r="Q16" s="2330"/>
      <c r="R16" s="2330"/>
      <c r="S16" s="2330"/>
      <c r="T16" s="2330"/>
      <c r="U16" s="2330"/>
      <c r="V16" s="2330"/>
      <c r="W16" s="2330"/>
      <c r="X16" s="2330"/>
      <c r="Y16" s="2330"/>
      <c r="Z16" s="2330"/>
      <c r="AA16" s="2330"/>
      <c r="AB16" s="2330"/>
      <c r="AC16" s="2330"/>
      <c r="AD16" s="2330"/>
      <c r="AE16" s="2330"/>
      <c r="AF16" s="2330"/>
      <c r="AG16" s="2330"/>
      <c r="AH16" s="2330"/>
      <c r="AI16" s="2331"/>
      <c r="AJ16" s="1801"/>
      <c r="AK16" s="528"/>
      <c r="AL16" s="1801"/>
      <c r="AM16" s="1801"/>
      <c r="AN16" s="1801"/>
      <c r="AO16" s="1801"/>
      <c r="AP16" s="1801"/>
      <c r="AQ16" s="1801"/>
      <c r="AR16" s="1801"/>
      <c r="AS16" s="1801"/>
      <c r="AT16" s="1801"/>
      <c r="AU16" s="1801"/>
      <c r="AV16" s="1801"/>
      <c r="AW16" s="1801"/>
      <c r="AX16" s="1801"/>
      <c r="AY16" s="1801"/>
      <c r="AZ16" s="1801"/>
      <c r="BA16" s="1801"/>
      <c r="BB16" s="1801"/>
      <c r="BC16" s="1801"/>
      <c r="BD16" s="1801"/>
      <c r="BE16" s="1801"/>
      <c r="BF16" s="1801"/>
      <c r="BG16" s="1801"/>
      <c r="BH16" s="1801"/>
      <c r="BI16" s="1801"/>
      <c r="BJ16" s="1801"/>
      <c r="BK16" s="1801"/>
      <c r="BL16" s="1801"/>
    </row>
    <row customHeight="1" ht="14.25">
      <c r="D17" s="2321" t="s">
        <v>99</v>
      </c>
      <c r="E17" s="2323" t="s">
        <v>399</v>
      </c>
      <c r="F17" s="2323" t="s">
        <v>401</v>
      </c>
      <c r="G17" s="2326" t="s">
        <v>53</v>
      </c>
      <c r="H17" s="1826"/>
      <c r="I17" s="2328"/>
      <c r="J17" s="2288"/>
      <c r="K17" s="1741"/>
      <c r="L17" s="2271"/>
      <c r="M17" s="2271"/>
      <c r="N17" s="1811"/>
      <c r="O17" s="2271"/>
      <c r="P17" s="2288"/>
      <c r="Q17" s="1812"/>
      <c r="R17" s="2271"/>
      <c r="S17" s="2271"/>
      <c r="T17" s="1813"/>
      <c r="U17" s="2271"/>
      <c r="V17" s="2288"/>
      <c r="W17" s="1814"/>
      <c r="X17" s="2271"/>
      <c r="Y17" s="2271"/>
      <c r="Z17" s="1811"/>
      <c r="AA17" s="2271"/>
      <c r="AB17" s="2288"/>
      <c r="AC17" s="1815"/>
      <c r="AD17" s="2271"/>
      <c r="AE17" s="2271"/>
      <c r="AF17" s="1740"/>
      <c r="AG17" s="1740"/>
      <c r="AH17" s="1816"/>
      <c r="AI17" s="1523"/>
      <c r="AJ17" s="1801"/>
    </row>
    <row customHeight="1" ht="14.25">
      <c r="D18" s="2321"/>
      <c r="E18" s="2323"/>
      <c r="F18" s="2323"/>
      <c r="G18" s="2327"/>
      <c r="H18" s="1827"/>
      <c r="I18" s="2329"/>
      <c r="J18" s="2289"/>
      <c r="K18" s="1810"/>
      <c r="L18" s="2272"/>
      <c r="M18" s="2272"/>
      <c r="N18" s="1817"/>
      <c r="O18" s="2272"/>
      <c r="P18" s="2289"/>
      <c r="Q18" s="1818"/>
      <c r="R18" s="2272"/>
      <c r="S18" s="2272"/>
      <c r="T18" s="1819"/>
      <c r="U18" s="2272"/>
      <c r="V18" s="2289"/>
      <c r="W18" s="1820"/>
      <c r="X18" s="2272"/>
      <c r="Y18" s="2272"/>
      <c r="Z18" s="1817"/>
      <c r="AA18" s="2272"/>
      <c r="AB18" s="2289"/>
      <c r="AC18" s="1821"/>
      <c r="AD18" s="2272"/>
      <c r="AE18" s="2272"/>
      <c r="AF18" s="1822"/>
      <c r="AG18" s="1822"/>
      <c r="AH18" s="2332"/>
      <c r="AI18" s="2333"/>
      <c r="AJ18" s="1801"/>
    </row>
    <row customHeight="1" ht="14.25">
      <c r="D19" s="2321"/>
      <c r="E19" s="2323"/>
      <c r="F19" s="2323"/>
      <c r="G19" s="2327"/>
      <c r="H19" s="1827"/>
      <c r="I19" s="2329"/>
      <c r="J19" s="2289"/>
      <c r="K19" s="1810"/>
      <c r="L19" s="2272"/>
      <c r="M19" s="2272"/>
      <c r="N19" s="1817"/>
      <c r="O19" s="2272"/>
      <c r="P19" s="2289"/>
      <c r="Q19" s="1818"/>
      <c r="R19" s="2272"/>
      <c r="S19" s="2272"/>
      <c r="T19" s="1819"/>
      <c r="U19" s="2272"/>
      <c r="V19" s="2289"/>
      <c r="W19" s="1820"/>
      <c r="X19" s="2272"/>
      <c r="Y19" s="2272"/>
      <c r="Z19" s="1739"/>
      <c r="AA19" s="1822"/>
      <c r="AB19" s="2332"/>
      <c r="AC19" s="2332"/>
      <c r="AD19" s="2332"/>
      <c r="AE19" s="2332"/>
      <c r="AF19" s="2332"/>
      <c r="AG19" s="2332"/>
      <c r="AH19" s="2332"/>
      <c r="AI19" s="2333"/>
      <c r="AJ19" s="1801"/>
    </row>
    <row customHeight="1" ht="14.25">
      <c r="D20" s="2321"/>
      <c r="E20" s="2323"/>
      <c r="F20" s="2323"/>
      <c r="G20" s="2327"/>
      <c r="H20" s="1827"/>
      <c r="I20" s="2329"/>
      <c r="J20" s="2289"/>
      <c r="K20" s="1810"/>
      <c r="L20" s="2272"/>
      <c r="M20" s="2272"/>
      <c r="N20" s="1817"/>
      <c r="O20" s="2272"/>
      <c r="P20" s="2289"/>
      <c r="Q20" s="1818"/>
      <c r="R20" s="2272"/>
      <c r="S20" s="2272"/>
      <c r="T20" s="1823"/>
      <c r="U20" s="1824"/>
      <c r="V20" s="2332"/>
      <c r="W20" s="2332"/>
      <c r="X20" s="2332"/>
      <c r="Y20" s="2332"/>
      <c r="Z20" s="2332"/>
      <c r="AA20" s="2332"/>
      <c r="AB20" s="2332"/>
      <c r="AC20" s="2332"/>
      <c r="AD20" s="2332"/>
      <c r="AE20" s="2332"/>
      <c r="AF20" s="2332"/>
      <c r="AG20" s="2332"/>
      <c r="AH20" s="2332"/>
      <c r="AI20" s="2333"/>
      <c r="AJ20" s="1801"/>
    </row>
    <row customHeight="1" ht="11.25">
      <c r="D21" s="2321"/>
      <c r="E21" s="2323"/>
      <c r="F21" s="2323"/>
      <c r="G21" s="2327"/>
      <c r="H21" s="1828"/>
      <c r="I21" s="2329"/>
      <c r="J21" s="2289"/>
      <c r="K21" s="1810"/>
      <c r="L21" s="2272"/>
      <c r="M21" s="2272"/>
      <c r="N21" s="1822"/>
      <c r="O21" s="1822"/>
      <c r="P21" s="2332"/>
      <c r="Q21" s="2332"/>
      <c r="R21" s="2332"/>
      <c r="S21" s="2332"/>
      <c r="T21" s="2332"/>
      <c r="U21" s="2332"/>
      <c r="V21" s="2332"/>
      <c r="W21" s="2332"/>
      <c r="X21" s="2332"/>
      <c r="Y21" s="2332"/>
      <c r="Z21" s="2332"/>
      <c r="AA21" s="2332"/>
      <c r="AB21" s="2332"/>
      <c r="AC21" s="2332"/>
      <c r="AD21" s="2332"/>
      <c r="AE21" s="2332"/>
      <c r="AF21" s="2332"/>
      <c r="AG21" s="2332"/>
      <c r="AH21" s="2332"/>
      <c r="AI21" s="2333"/>
      <c r="AJ21" s="1801"/>
    </row>
    <row s="16183" customFormat="1" customHeight="1" ht="11.25">
      <c r="D22" s="2322"/>
      <c r="E22" s="2324"/>
      <c r="F22" s="2325"/>
      <c r="G22" s="2268"/>
      <c r="H22" s="1825"/>
      <c r="I22" s="1829"/>
      <c r="J22" s="2330"/>
      <c r="K22" s="2330"/>
      <c r="L22" s="2330"/>
      <c r="M22" s="2330"/>
      <c r="N22" s="2330"/>
      <c r="O22" s="2330"/>
      <c r="P22" s="2330"/>
      <c r="Q22" s="2330"/>
      <c r="R22" s="2330"/>
      <c r="S22" s="2330"/>
      <c r="T22" s="2330"/>
      <c r="U22" s="2330"/>
      <c r="V22" s="2330"/>
      <c r="W22" s="2330"/>
      <c r="X22" s="2330"/>
      <c r="Y22" s="2330"/>
      <c r="Z22" s="2330"/>
      <c r="AA22" s="2330"/>
      <c r="AB22" s="2330"/>
      <c r="AC22" s="2330"/>
      <c r="AD22" s="2330"/>
      <c r="AE22" s="2330"/>
      <c r="AF22" s="2330"/>
      <c r="AG22" s="2330"/>
      <c r="AH22" s="2330"/>
      <c r="AI22" s="2331"/>
      <c r="AJ22" s="1801"/>
      <c r="AK22" s="528"/>
      <c r="AL22" s="1801"/>
      <c r="AM22" s="1801"/>
      <c r="AN22" s="1801"/>
      <c r="AO22" s="1801"/>
      <c r="AP22" s="1801"/>
      <c r="AQ22" s="1801"/>
      <c r="AR22" s="1801"/>
      <c r="AS22" s="1801"/>
      <c r="AT22" s="1801"/>
      <c r="AU22" s="1801"/>
      <c r="AV22" s="1801"/>
      <c r="AW22" s="1801"/>
      <c r="AX22" s="1801"/>
      <c r="AY22" s="1801"/>
      <c r="AZ22" s="1801"/>
      <c r="BA22" s="1801"/>
      <c r="BB22" s="1801"/>
      <c r="BC22" s="1801"/>
      <c r="BD22" s="1801"/>
      <c r="BE22" s="1801"/>
      <c r="BF22" s="1801"/>
      <c r="BG22" s="1801"/>
      <c r="BH22" s="1801"/>
      <c r="BI22" s="1801"/>
      <c r="BJ22" s="1801"/>
      <c r="BK22" s="1801"/>
      <c r="BL22" s="1801"/>
    </row>
    <row customHeight="1" ht="14.25">
      <c r="D23" s="2321" t="s">
        <v>86</v>
      </c>
      <c r="E23" s="2323" t="s">
        <v>399</v>
      </c>
      <c r="F23" s="2323" t="s">
        <v>402</v>
      </c>
      <c r="G23" s="2326" t="s">
        <v>53</v>
      </c>
      <c r="H23" s="1826"/>
      <c r="I23" s="2328"/>
      <c r="J23" s="2288"/>
      <c r="K23" s="1741"/>
      <c r="L23" s="2271"/>
      <c r="M23" s="2271"/>
      <c r="N23" s="1811"/>
      <c r="O23" s="2271"/>
      <c r="P23" s="2288"/>
      <c r="Q23" s="1812"/>
      <c r="R23" s="2271"/>
      <c r="S23" s="2271"/>
      <c r="T23" s="1813"/>
      <c r="U23" s="2271"/>
      <c r="V23" s="2288"/>
      <c r="W23" s="1814"/>
      <c r="X23" s="2271"/>
      <c r="Y23" s="2271"/>
      <c r="Z23" s="1811"/>
      <c r="AA23" s="2271"/>
      <c r="AB23" s="2288"/>
      <c r="AC23" s="1815"/>
      <c r="AD23" s="2271"/>
      <c r="AE23" s="2271"/>
      <c r="AF23" s="1740"/>
      <c r="AG23" s="1740"/>
      <c r="AH23" s="1816"/>
      <c r="AI23" s="1523"/>
      <c r="AJ23" s="1801"/>
      <c r="AK23" s="528" t="s">
        <v>94</v>
      </c>
    </row>
    <row customHeight="1" ht="14.25">
      <c r="D24" s="2321"/>
      <c r="E24" s="2323"/>
      <c r="F24" s="2323"/>
      <c r="G24" s="2327"/>
      <c r="H24" s="1827"/>
      <c r="I24" s="2329"/>
      <c r="J24" s="2289"/>
      <c r="K24" s="1837"/>
      <c r="L24" s="2272"/>
      <c r="M24" s="2272"/>
      <c r="N24" s="1817"/>
      <c r="O24" s="2272"/>
      <c r="P24" s="2289"/>
      <c r="Q24" s="1818"/>
      <c r="R24" s="2272"/>
      <c r="S24" s="2272"/>
      <c r="T24" s="1819"/>
      <c r="U24" s="2272"/>
      <c r="V24" s="2289"/>
      <c r="W24" s="1820"/>
      <c r="X24" s="2272"/>
      <c r="Y24" s="2272"/>
      <c r="Z24" s="1817"/>
      <c r="AA24" s="2272"/>
      <c r="AB24" s="2289"/>
      <c r="AC24" s="1821"/>
      <c r="AD24" s="2272"/>
      <c r="AE24" s="2272"/>
      <c r="AF24" s="1822"/>
      <c r="AG24" s="1822"/>
      <c r="AH24" s="2332"/>
      <c r="AI24" s="2333"/>
      <c r="AJ24" s="1801"/>
    </row>
    <row customHeight="1" ht="14.25">
      <c r="D25" s="2321"/>
      <c r="E25" s="2323"/>
      <c r="F25" s="2323"/>
      <c r="G25" s="2327"/>
      <c r="H25" s="1827"/>
      <c r="I25" s="2329"/>
      <c r="J25" s="2289"/>
      <c r="K25" s="1837"/>
      <c r="L25" s="2272"/>
      <c r="M25" s="2272"/>
      <c r="N25" s="1817"/>
      <c r="O25" s="2272"/>
      <c r="P25" s="2289"/>
      <c r="Q25" s="1818"/>
      <c r="R25" s="2272"/>
      <c r="S25" s="2272"/>
      <c r="T25" s="1819"/>
      <c r="U25" s="2272"/>
      <c r="V25" s="2289"/>
      <c r="W25" s="1820"/>
      <c r="X25" s="2272"/>
      <c r="Y25" s="2272"/>
      <c r="Z25" s="1739"/>
      <c r="AA25" s="1822"/>
      <c r="AB25" s="2332"/>
      <c r="AC25" s="2332"/>
      <c r="AD25" s="2332"/>
      <c r="AE25" s="2332"/>
      <c r="AF25" s="2332"/>
      <c r="AG25" s="2332"/>
      <c r="AH25" s="2332"/>
      <c r="AI25" s="2333"/>
      <c r="AJ25" s="1801"/>
    </row>
    <row customHeight="1" ht="14.25">
      <c r="D26" s="2321"/>
      <c r="E26" s="2323"/>
      <c r="F26" s="2323"/>
      <c r="G26" s="2327"/>
      <c r="H26" s="1827"/>
      <c r="I26" s="2329"/>
      <c r="J26" s="2289"/>
      <c r="K26" s="1837"/>
      <c r="L26" s="2272"/>
      <c r="M26" s="2272"/>
      <c r="N26" s="1817"/>
      <c r="O26" s="2272"/>
      <c r="P26" s="2289"/>
      <c r="Q26" s="1818"/>
      <c r="R26" s="2272"/>
      <c r="S26" s="2272"/>
      <c r="T26" s="1823"/>
      <c r="U26" s="1824"/>
      <c r="V26" s="2332"/>
      <c r="W26" s="2332"/>
      <c r="X26" s="2332"/>
      <c r="Y26" s="2332"/>
      <c r="Z26" s="2332"/>
      <c r="AA26" s="2332"/>
      <c r="AB26" s="2332"/>
      <c r="AC26" s="2332"/>
      <c r="AD26" s="2332"/>
      <c r="AE26" s="2332"/>
      <c r="AF26" s="2332"/>
      <c r="AG26" s="2332"/>
      <c r="AH26" s="2332"/>
      <c r="AI26" s="2333"/>
      <c r="AJ26" s="1801"/>
    </row>
    <row customHeight="1" ht="11.25">
      <c r="D27" s="2321"/>
      <c r="E27" s="2323"/>
      <c r="F27" s="2323"/>
      <c r="G27" s="2327"/>
      <c r="H27" s="1828"/>
      <c r="I27" s="2329"/>
      <c r="J27" s="2289"/>
      <c r="K27" s="1837"/>
      <c r="L27" s="2272"/>
      <c r="M27" s="2272"/>
      <c r="N27" s="1822"/>
      <c r="O27" s="1822"/>
      <c r="P27" s="2332"/>
      <c r="Q27" s="2332"/>
      <c r="R27" s="2332"/>
      <c r="S27" s="2332"/>
      <c r="T27" s="2332"/>
      <c r="U27" s="2332"/>
      <c r="V27" s="2332"/>
      <c r="W27" s="2332"/>
      <c r="X27" s="2332"/>
      <c r="Y27" s="2332"/>
      <c r="Z27" s="2332"/>
      <c r="AA27" s="2332"/>
      <c r="AB27" s="2332"/>
      <c r="AC27" s="2332"/>
      <c r="AD27" s="2332"/>
      <c r="AE27" s="2332"/>
      <c r="AF27" s="2332"/>
      <c r="AG27" s="2332"/>
      <c r="AH27" s="2332"/>
      <c r="AI27" s="2333"/>
      <c r="AJ27" s="1801"/>
    </row>
    <row s="16183" customFormat="1" customHeight="1" ht="11.25">
      <c r="D28" s="2322"/>
      <c r="E28" s="2324"/>
      <c r="F28" s="2325"/>
      <c r="G28" s="2268"/>
      <c r="H28" s="1825"/>
      <c r="I28" s="1829"/>
      <c r="J28" s="2330"/>
      <c r="K28" s="2330"/>
      <c r="L28" s="2330"/>
      <c r="M28" s="2330"/>
      <c r="N28" s="2330"/>
      <c r="O28" s="2330"/>
      <c r="P28" s="2330"/>
      <c r="Q28" s="2330"/>
      <c r="R28" s="2330"/>
      <c r="S28" s="2330"/>
      <c r="T28" s="2330"/>
      <c r="U28" s="2330"/>
      <c r="V28" s="2330"/>
      <c r="W28" s="2330"/>
      <c r="X28" s="2330"/>
      <c r="Y28" s="2330"/>
      <c r="Z28" s="2330"/>
      <c r="AA28" s="2330"/>
      <c r="AB28" s="2330"/>
      <c r="AC28" s="2330"/>
      <c r="AD28" s="2330"/>
      <c r="AE28" s="2330"/>
      <c r="AF28" s="2330"/>
      <c r="AG28" s="2330"/>
      <c r="AH28" s="2330"/>
      <c r="AI28" s="2331"/>
      <c r="AJ28" s="1801"/>
      <c r="AK28" s="528"/>
      <c r="AL28" s="1801"/>
      <c r="AM28" s="1801"/>
      <c r="AN28" s="1801"/>
      <c r="AO28" s="1801"/>
      <c r="AP28" s="1801"/>
      <c r="AQ28" s="1801"/>
      <c r="AR28" s="1801"/>
      <c r="AS28" s="1801"/>
      <c r="AT28" s="1801"/>
      <c r="AU28" s="1801"/>
      <c r="AV28" s="1801"/>
      <c r="AW28" s="1801"/>
      <c r="AX28" s="1801"/>
      <c r="AY28" s="1801"/>
      <c r="AZ28" s="1801"/>
      <c r="BA28" s="1801"/>
      <c r="BB28" s="1801"/>
      <c r="BC28" s="1801"/>
      <c r="BD28" s="1801"/>
      <c r="BE28" s="1801"/>
      <c r="BF28" s="1801"/>
      <c r="BG28" s="1801"/>
      <c r="BH28" s="1801"/>
      <c r="BI28" s="1801"/>
      <c r="BJ28" s="1801"/>
      <c r="BK28" s="1801"/>
      <c r="BL28" s="1801"/>
    </row>
    <row customHeight="1" ht="14.25">
      <c r="D29" s="2321" t="s">
        <v>87</v>
      </c>
      <c r="E29" s="2323" t="s">
        <v>399</v>
      </c>
      <c r="F29" s="2323" t="s">
        <v>403</v>
      </c>
      <c r="G29" s="2326" t="s">
        <v>53</v>
      </c>
      <c r="H29" s="1826"/>
      <c r="I29" s="2328"/>
      <c r="J29" s="2288"/>
      <c r="K29" s="1741"/>
      <c r="L29" s="2271"/>
      <c r="M29" s="2271"/>
      <c r="N29" s="1811"/>
      <c r="O29" s="2271"/>
      <c r="P29" s="2288"/>
      <c r="Q29" s="1812"/>
      <c r="R29" s="2271"/>
      <c r="S29" s="2271"/>
      <c r="T29" s="1813"/>
      <c r="U29" s="2271"/>
      <c r="V29" s="2288"/>
      <c r="W29" s="1814"/>
      <c r="X29" s="2271"/>
      <c r="Y29" s="2271"/>
      <c r="Z29" s="1811"/>
      <c r="AA29" s="2271"/>
      <c r="AB29" s="2288"/>
      <c r="AC29" s="1815"/>
      <c r="AD29" s="2271"/>
      <c r="AE29" s="2271"/>
      <c r="AF29" s="1740"/>
      <c r="AG29" s="1740"/>
      <c r="AH29" s="1816"/>
      <c r="AI29" s="1523"/>
      <c r="AJ29" s="1801"/>
    </row>
    <row customHeight="1" ht="14.25">
      <c r="D30" s="2321"/>
      <c r="E30" s="2323"/>
      <c r="F30" s="2323"/>
      <c r="G30" s="2327"/>
      <c r="H30" s="1827"/>
      <c r="I30" s="2329"/>
      <c r="J30" s="2289"/>
      <c r="K30" s="1810"/>
      <c r="L30" s="2272"/>
      <c r="M30" s="2272"/>
      <c r="N30" s="1817"/>
      <c r="O30" s="2272"/>
      <c r="P30" s="2289"/>
      <c r="Q30" s="1818"/>
      <c r="R30" s="2272"/>
      <c r="S30" s="2272"/>
      <c r="T30" s="1819"/>
      <c r="U30" s="2272"/>
      <c r="V30" s="2289"/>
      <c r="W30" s="1820"/>
      <c r="X30" s="2272"/>
      <c r="Y30" s="2272"/>
      <c r="Z30" s="1817"/>
      <c r="AA30" s="2272"/>
      <c r="AB30" s="2289"/>
      <c r="AC30" s="1821"/>
      <c r="AD30" s="2272"/>
      <c r="AE30" s="2272"/>
      <c r="AF30" s="1822"/>
      <c r="AG30" s="1822"/>
      <c r="AH30" s="2332"/>
      <c r="AI30" s="2333"/>
      <c r="AJ30" s="1801"/>
    </row>
    <row customHeight="1" ht="14.25">
      <c r="D31" s="2321"/>
      <c r="E31" s="2323"/>
      <c r="F31" s="2323"/>
      <c r="G31" s="2327"/>
      <c r="H31" s="1827"/>
      <c r="I31" s="2329"/>
      <c r="J31" s="2289"/>
      <c r="K31" s="1810"/>
      <c r="L31" s="2272"/>
      <c r="M31" s="2272"/>
      <c r="N31" s="1817"/>
      <c r="O31" s="2272"/>
      <c r="P31" s="2289"/>
      <c r="Q31" s="1818"/>
      <c r="R31" s="2272"/>
      <c r="S31" s="2272"/>
      <c r="T31" s="1819"/>
      <c r="U31" s="2272"/>
      <c r="V31" s="2289"/>
      <c r="W31" s="1820"/>
      <c r="X31" s="2272"/>
      <c r="Y31" s="2272"/>
      <c r="Z31" s="1739"/>
      <c r="AA31" s="1822"/>
      <c r="AB31" s="2332"/>
      <c r="AC31" s="2332"/>
      <c r="AD31" s="2332"/>
      <c r="AE31" s="2332"/>
      <c r="AF31" s="2332"/>
      <c r="AG31" s="2332"/>
      <c r="AH31" s="2332"/>
      <c r="AI31" s="2333"/>
      <c r="AJ31" s="1801"/>
    </row>
    <row customHeight="1" ht="14.25">
      <c r="D32" s="2321"/>
      <c r="E32" s="2323"/>
      <c r="F32" s="2323"/>
      <c r="G32" s="2327"/>
      <c r="H32" s="1827"/>
      <c r="I32" s="2329"/>
      <c r="J32" s="2289"/>
      <c r="K32" s="1810"/>
      <c r="L32" s="2272"/>
      <c r="M32" s="2272"/>
      <c r="N32" s="1817"/>
      <c r="O32" s="2272"/>
      <c r="P32" s="2289"/>
      <c r="Q32" s="1818"/>
      <c r="R32" s="2272"/>
      <c r="S32" s="2272"/>
      <c r="T32" s="1823"/>
      <c r="U32" s="1824"/>
      <c r="V32" s="2332"/>
      <c r="W32" s="2332"/>
      <c r="X32" s="2332"/>
      <c r="Y32" s="2332"/>
      <c r="Z32" s="2332"/>
      <c r="AA32" s="2332"/>
      <c r="AB32" s="2332"/>
      <c r="AC32" s="2332"/>
      <c r="AD32" s="2332"/>
      <c r="AE32" s="2332"/>
      <c r="AF32" s="2332"/>
      <c r="AG32" s="2332"/>
      <c r="AH32" s="2332"/>
      <c r="AI32" s="2333"/>
      <c r="AJ32" s="1801"/>
    </row>
    <row customHeight="1" ht="11.25">
      <c r="D33" s="2321"/>
      <c r="E33" s="2323"/>
      <c r="F33" s="2323"/>
      <c r="G33" s="2327"/>
      <c r="H33" s="1828"/>
      <c r="I33" s="2329"/>
      <c r="J33" s="2289"/>
      <c r="K33" s="1810"/>
      <c r="L33" s="2272"/>
      <c r="M33" s="2272"/>
      <c r="N33" s="1822"/>
      <c r="O33" s="1822"/>
      <c r="P33" s="2332"/>
      <c r="Q33" s="2332"/>
      <c r="R33" s="2332"/>
      <c r="S33" s="2332"/>
      <c r="T33" s="2332"/>
      <c r="U33" s="2332"/>
      <c r="V33" s="2332"/>
      <c r="W33" s="2332"/>
      <c r="X33" s="2332"/>
      <c r="Y33" s="2332"/>
      <c r="Z33" s="2332"/>
      <c r="AA33" s="2332"/>
      <c r="AB33" s="2332"/>
      <c r="AC33" s="2332"/>
      <c r="AD33" s="2332"/>
      <c r="AE33" s="2332"/>
      <c r="AF33" s="2332"/>
      <c r="AG33" s="2332"/>
      <c r="AH33" s="2332"/>
      <c r="AI33" s="2333"/>
      <c r="AJ33" s="1801"/>
    </row>
    <row s="16183" customFormat="1" customHeight="1" ht="11.25">
      <c r="D34" s="2322"/>
      <c r="E34" s="2324"/>
      <c r="F34" s="2325"/>
      <c r="G34" s="2268"/>
      <c r="H34" s="1825"/>
      <c r="I34" s="1829"/>
      <c r="J34" s="2330"/>
      <c r="K34" s="2330"/>
      <c r="L34" s="2330"/>
      <c r="M34" s="2330"/>
      <c r="N34" s="2330"/>
      <c r="O34" s="2330"/>
      <c r="P34" s="2330"/>
      <c r="Q34" s="2330"/>
      <c r="R34" s="2330"/>
      <c r="S34" s="2330"/>
      <c r="T34" s="2330"/>
      <c r="U34" s="2330"/>
      <c r="V34" s="2330"/>
      <c r="W34" s="2330"/>
      <c r="X34" s="2330"/>
      <c r="Y34" s="2330"/>
      <c r="Z34" s="2330"/>
      <c r="AA34" s="2330"/>
      <c r="AB34" s="2330"/>
      <c r="AC34" s="2330"/>
      <c r="AD34" s="2330"/>
      <c r="AE34" s="2330"/>
      <c r="AF34" s="2330"/>
      <c r="AG34" s="2330"/>
      <c r="AH34" s="2330"/>
      <c r="AI34" s="2331"/>
      <c r="AJ34" s="1801"/>
      <c r="AK34" s="528"/>
      <c r="AL34" s="1801"/>
      <c r="AM34" s="1801"/>
      <c r="AN34" s="1801"/>
      <c r="AO34" s="1801"/>
      <c r="AP34" s="1801"/>
      <c r="AQ34" s="1801"/>
      <c r="AR34" s="1801"/>
      <c r="AS34" s="1801"/>
      <c r="AT34" s="1801"/>
      <c r="AU34" s="1801"/>
      <c r="AV34" s="1801"/>
      <c r="AW34" s="1801"/>
      <c r="AX34" s="1801"/>
      <c r="AY34" s="1801"/>
      <c r="AZ34" s="1801"/>
      <c r="BA34" s="1801"/>
      <c r="BB34" s="1801"/>
      <c r="BC34" s="1801"/>
      <c r="BD34" s="1801"/>
      <c r="BE34" s="1801"/>
      <c r="BF34" s="1801"/>
      <c r="BG34" s="1801"/>
      <c r="BH34" s="1801"/>
      <c r="BI34" s="1801"/>
      <c r="BJ34" s="1801"/>
      <c r="BK34" s="1801"/>
      <c r="BL34" s="1801"/>
    </row>
    <row customHeight="1" ht="14.25">
      <c r="D35" s="2321" t="s">
        <v>113</v>
      </c>
      <c r="E35" s="2323" t="s">
        <v>399</v>
      </c>
      <c r="F35" s="2323" t="s">
        <v>404</v>
      </c>
      <c r="G35" s="2326" t="s">
        <v>53</v>
      </c>
      <c r="H35" s="1826"/>
      <c r="I35" s="2328"/>
      <c r="J35" s="2288"/>
      <c r="K35" s="1741"/>
      <c r="L35" s="2271"/>
      <c r="M35" s="2271"/>
      <c r="N35" s="1811"/>
      <c r="O35" s="2271"/>
      <c r="P35" s="2288"/>
      <c r="Q35" s="1812"/>
      <c r="R35" s="2271"/>
      <c r="S35" s="2271"/>
      <c r="T35" s="1813"/>
      <c r="U35" s="2271"/>
      <c r="V35" s="2288"/>
      <c r="W35" s="1814"/>
      <c r="X35" s="2271"/>
      <c r="Y35" s="2271"/>
      <c r="Z35" s="1811"/>
      <c r="AA35" s="2271"/>
      <c r="AB35" s="2288"/>
      <c r="AC35" s="1815"/>
      <c r="AD35" s="2271"/>
      <c r="AE35" s="2271"/>
      <c r="AF35" s="1740"/>
      <c r="AG35" s="1740"/>
      <c r="AH35" s="1816"/>
      <c r="AI35" s="1523"/>
      <c r="AJ35" s="1801"/>
    </row>
    <row customHeight="1" ht="14.25">
      <c r="D36" s="2321"/>
      <c r="E36" s="2323"/>
      <c r="F36" s="2323"/>
      <c r="G36" s="2327"/>
      <c r="H36" s="1827"/>
      <c r="I36" s="2329"/>
      <c r="J36" s="2289"/>
      <c r="K36" s="1810"/>
      <c r="L36" s="2272"/>
      <c r="M36" s="2272"/>
      <c r="N36" s="1817"/>
      <c r="O36" s="2272"/>
      <c r="P36" s="2289"/>
      <c r="Q36" s="1818"/>
      <c r="R36" s="2272"/>
      <c r="S36" s="2272"/>
      <c r="T36" s="1819"/>
      <c r="U36" s="2272"/>
      <c r="V36" s="2289"/>
      <c r="W36" s="1820"/>
      <c r="X36" s="2272"/>
      <c r="Y36" s="2272"/>
      <c r="Z36" s="1817"/>
      <c r="AA36" s="2272"/>
      <c r="AB36" s="2289"/>
      <c r="AC36" s="1821"/>
      <c r="AD36" s="2272"/>
      <c r="AE36" s="2272"/>
      <c r="AF36" s="1822"/>
      <c r="AG36" s="1822"/>
      <c r="AH36" s="2332"/>
      <c r="AI36" s="2333"/>
      <c r="AJ36" s="1801"/>
    </row>
    <row customHeight="1" ht="14.25">
      <c r="D37" s="2321"/>
      <c r="E37" s="2323"/>
      <c r="F37" s="2323"/>
      <c r="G37" s="2327"/>
      <c r="H37" s="1827"/>
      <c r="I37" s="2329"/>
      <c r="J37" s="2289"/>
      <c r="K37" s="1810"/>
      <c r="L37" s="2272"/>
      <c r="M37" s="2272"/>
      <c r="N37" s="1817"/>
      <c r="O37" s="2272"/>
      <c r="P37" s="2289"/>
      <c r="Q37" s="1818"/>
      <c r="R37" s="2272"/>
      <c r="S37" s="2272"/>
      <c r="T37" s="1819"/>
      <c r="U37" s="2272"/>
      <c r="V37" s="2289"/>
      <c r="W37" s="1820"/>
      <c r="X37" s="2272"/>
      <c r="Y37" s="2272"/>
      <c r="Z37" s="1739"/>
      <c r="AA37" s="1822"/>
      <c r="AB37" s="2332"/>
      <c r="AC37" s="2332"/>
      <c r="AD37" s="2332"/>
      <c r="AE37" s="2332"/>
      <c r="AF37" s="2332"/>
      <c r="AG37" s="2332"/>
      <c r="AH37" s="2332"/>
      <c r="AI37" s="2333"/>
      <c r="AJ37" s="1801"/>
    </row>
    <row customHeight="1" ht="14.25">
      <c r="D38" s="2321"/>
      <c r="E38" s="2323"/>
      <c r="F38" s="2323"/>
      <c r="G38" s="2327"/>
      <c r="H38" s="1827"/>
      <c r="I38" s="2329"/>
      <c r="J38" s="2289"/>
      <c r="K38" s="1810"/>
      <c r="L38" s="2272"/>
      <c r="M38" s="2272"/>
      <c r="N38" s="1817"/>
      <c r="O38" s="2272"/>
      <c r="P38" s="2289"/>
      <c r="Q38" s="1818"/>
      <c r="R38" s="2272"/>
      <c r="S38" s="2272"/>
      <c r="T38" s="1823"/>
      <c r="U38" s="1824"/>
      <c r="V38" s="2332"/>
      <c r="W38" s="2332"/>
      <c r="X38" s="2332"/>
      <c r="Y38" s="2332"/>
      <c r="Z38" s="2332"/>
      <c r="AA38" s="2332"/>
      <c r="AB38" s="2332"/>
      <c r="AC38" s="2332"/>
      <c r="AD38" s="2332"/>
      <c r="AE38" s="2332"/>
      <c r="AF38" s="2332"/>
      <c r="AG38" s="2332"/>
      <c r="AH38" s="2332"/>
      <c r="AI38" s="2333"/>
      <c r="AJ38" s="1801"/>
    </row>
    <row customHeight="1" ht="11.25">
      <c r="D39" s="2321"/>
      <c r="E39" s="2323"/>
      <c r="F39" s="2323"/>
      <c r="G39" s="2327"/>
      <c r="H39" s="1828"/>
      <c r="I39" s="2329"/>
      <c r="J39" s="2289"/>
      <c r="K39" s="1810"/>
      <c r="L39" s="2272"/>
      <c r="M39" s="2272"/>
      <c r="N39" s="1822"/>
      <c r="O39" s="1822"/>
      <c r="P39" s="2332"/>
      <c r="Q39" s="2332"/>
      <c r="R39" s="2332"/>
      <c r="S39" s="2332"/>
      <c r="T39" s="2332"/>
      <c r="U39" s="2332"/>
      <c r="V39" s="2332"/>
      <c r="W39" s="2332"/>
      <c r="X39" s="2332"/>
      <c r="Y39" s="2332"/>
      <c r="Z39" s="2332"/>
      <c r="AA39" s="2332"/>
      <c r="AB39" s="2332"/>
      <c r="AC39" s="2332"/>
      <c r="AD39" s="2332"/>
      <c r="AE39" s="2332"/>
      <c r="AF39" s="2332"/>
      <c r="AG39" s="2332"/>
      <c r="AH39" s="2332"/>
      <c r="AI39" s="2333"/>
      <c r="AJ39" s="1801"/>
    </row>
    <row s="16183" customFormat="1" customHeight="1" ht="11.25">
      <c r="D40" s="2321"/>
      <c r="E40" s="2323"/>
      <c r="F40" s="2334"/>
      <c r="G40" s="2268"/>
      <c r="H40" s="1825"/>
      <c r="I40" s="1829"/>
      <c r="J40" s="2330"/>
      <c r="K40" s="2330"/>
      <c r="L40" s="2330"/>
      <c r="M40" s="2330"/>
      <c r="N40" s="2330"/>
      <c r="O40" s="2330"/>
      <c r="P40" s="2330"/>
      <c r="Q40" s="2330"/>
      <c r="R40" s="2330"/>
      <c r="S40" s="2330"/>
      <c r="T40" s="2330"/>
      <c r="U40" s="2330"/>
      <c r="V40" s="2330"/>
      <c r="W40" s="2330"/>
      <c r="X40" s="2330"/>
      <c r="Y40" s="2330"/>
      <c r="Z40" s="2330"/>
      <c r="AA40" s="2330"/>
      <c r="AB40" s="2330"/>
      <c r="AC40" s="2330"/>
      <c r="AD40" s="2330"/>
      <c r="AE40" s="2330"/>
      <c r="AF40" s="2330"/>
      <c r="AG40" s="2330"/>
      <c r="AH40" s="2330"/>
      <c r="AI40" s="2331"/>
      <c r="AJ40" s="1801"/>
      <c r="AK40" s="528"/>
      <c r="AL40" s="1801"/>
      <c r="AM40" s="1801"/>
      <c r="AN40" s="1801"/>
      <c r="AO40" s="1801"/>
      <c r="AP40" s="1801"/>
      <c r="AQ40" s="1801"/>
      <c r="AR40" s="1801"/>
      <c r="AS40" s="1801"/>
      <c r="AT40" s="1801"/>
      <c r="AU40" s="1801"/>
      <c r="AV40" s="1801"/>
      <c r="AW40" s="1801"/>
      <c r="AX40" s="1801"/>
      <c r="AY40" s="1801"/>
      <c r="AZ40" s="1801"/>
      <c r="BA40" s="1801"/>
      <c r="BB40" s="1801"/>
      <c r="BC40" s="1801"/>
      <c r="BD40" s="1801"/>
      <c r="BE40" s="1801"/>
      <c r="BF40" s="1801"/>
      <c r="BG40" s="1801"/>
      <c r="BH40" s="1801"/>
      <c r="BI40" s="1801"/>
      <c r="BJ40" s="1801"/>
      <c r="BK40" s="1801"/>
      <c r="BL40" s="1801"/>
    </row>
    <row customHeight="1" ht="11.25">
      <c r="AK41" s="645"/>
    </row>
    <row customHeight="1" ht="11.25">
      <c r="AK42" s="645"/>
    </row>
    <row customHeight="1" ht="11.25">
      <c r="AK43" s="645"/>
    </row>
    <row customHeight="1" ht="11.25">
      <c r="AK44" s="645"/>
    </row>
    <row customHeight="1" ht="11.25">
      <c r="AK45" s="645"/>
    </row>
    <row customHeight="1" ht="11.25">
      <c r="AK46" s="645"/>
    </row>
    <row customHeight="1" ht="11.25">
      <c r="AK47" s="645"/>
    </row>
    <row customHeight="1" ht="11.25">
      <c r="AK48" s="645"/>
    </row>
    <row customHeight="1" ht="11.25">
      <c r="AK49" s="645"/>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0802E2-B2B2-151B-9633-97F31896306B}" mc:Ignorable="x14ac xr xr2 xr3">
  <sheetPr>
    <tabColor theme="3" tint="0.6"/>
  </sheetPr>
  <dimension ref="A1:I59"/>
  <sheetViews>
    <sheetView topLeftCell="A1" showGridLines="0" zoomScale="90" workbookViewId="0">
      <selection activeCell="A1" sqref="A1"/>
    </sheetView>
  </sheetViews>
  <sheetFormatPr defaultColWidth="9.140625" customHeight="1" defaultRowHeight="11.25"/>
  <cols>
    <col min="1" max="1" style="16338" width="15.00390625" hidden="1" customWidth="1"/>
    <col min="2" max="2" style="16297" width="15.00390625" hidden="1" customWidth="1"/>
    <col min="3" max="3" style="16339" width="3.7109375" customWidth="1"/>
    <col min="4" max="4" style="16340" width="6.8515625" customWidth="1"/>
    <col min="5" max="5" style="16339" width="52.28125" customWidth="1"/>
    <col min="6" max="6" style="16339" width="48.8515625" customWidth="1"/>
    <col min="7" max="7" style="16339" width="121.7109375" customWidth="1"/>
    <col min="8" max="8" style="16339" width="9.140625"/>
    <col min="9" max="9" style="16339" width="65.00390625" customWidth="1"/>
  </cols>
  <sheetData>
    <row customHeight="1" ht="11.25" hidden="1">
      <c r="A1" s="1913" t="s">
        <v>405</v>
      </c>
    </row>
    <row customHeight="1" ht="11.25" hidden="1"/>
    <row s="16256" customFormat="1" customHeight="1" ht="11.25">
      <c r="A3" s="1913"/>
      <c r="B3" s="723"/>
      <c r="D3" s="700"/>
    </row>
    <row customHeight="1" ht="25.5">
      <c r="D4" s="2301" t="str">
        <f>ORG_INFO_NAME_FORM</f>
        <v>Форма 1. Информация об организации, осуществляющей горячее водоснабжение (общая информация)</v>
      </c>
      <c r="E4" s="2302"/>
      <c r="F4" s="2303"/>
      <c r="I4" s="937"/>
    </row>
    <row customHeight="1" ht="17.25">
      <c r="D5" s="2335" t="str">
        <f>IF(org=0,"Не определено",org)</f>
        <v>КГУП "Примтеплоэнерго"</v>
      </c>
      <c r="E5" s="2335"/>
      <c r="F5" s="2335"/>
      <c r="I5" s="937"/>
    </row>
    <row s="16256" customFormat="1" customHeight="1" ht="11.25">
      <c r="A6" s="1913"/>
      <c r="B6" s="723"/>
      <c r="D6" s="936"/>
      <c r="E6" s="936"/>
      <c r="F6" s="974"/>
      <c r="G6" s="936"/>
    </row>
    <row customHeight="1" ht="11.25" hidden="1">
      <c r="A7" s="679"/>
      <c r="B7" s="724"/>
      <c r="C7" s="679"/>
      <c r="D7" s="685"/>
      <c r="E7" s="2341"/>
      <c r="F7" s="2341"/>
    </row>
    <row customHeight="1" ht="11.25">
      <c r="A8" s="679"/>
      <c r="B8" s="724"/>
      <c r="C8" s="679"/>
      <c r="D8" s="2338" t="s">
        <v>406</v>
      </c>
      <c r="E8" s="2339"/>
      <c r="F8" s="2339"/>
      <c r="G8" s="2342" t="s">
        <v>407</v>
      </c>
    </row>
    <row customHeight="1" ht="11.25">
      <c r="A9" s="679"/>
      <c r="B9" s="724"/>
      <c r="C9" s="679"/>
      <c r="D9" s="694" t="s">
        <v>84</v>
      </c>
      <c r="E9" s="668" t="s">
        <v>408</v>
      </c>
      <c r="F9" s="668" t="s">
        <v>409</v>
      </c>
      <c r="G9" s="2343"/>
    </row>
    <row customHeight="1" ht="12" hidden="1">
      <c r="A10" s="679"/>
      <c r="B10" s="724"/>
      <c r="C10" s="679"/>
      <c r="D10" s="686"/>
      <c r="E10" s="686"/>
      <c r="F10" s="686"/>
      <c r="G10" s="686"/>
    </row>
    <row customHeight="1" ht="22.5" hidden="1">
      <c r="A11" s="679"/>
      <c r="B11" s="724"/>
      <c r="C11" s="679"/>
      <c r="D11" s="1232" t="s">
        <v>168</v>
      </c>
      <c r="E11" s="1235" t="s">
        <v>410</v>
      </c>
      <c r="F11" s="1234" t="str">
        <f>IF(region_name="","",region_name)</f>
        <v>Приморский край</v>
      </c>
      <c r="G11" s="1235" t="s">
        <v>411</v>
      </c>
      <c r="H11" s="697"/>
    </row>
    <row customHeight="1" ht="22.5" hidden="1">
      <c r="A12" s="679"/>
      <c r="B12" s="724"/>
      <c r="C12" s="679"/>
      <c r="D12" s="667" t="s">
        <v>168</v>
      </c>
      <c r="E12" s="66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65" t="s">
        <v>412</v>
      </c>
      <c r="G12" s="696"/>
      <c r="H12" s="697"/>
    </row>
    <row customHeight="1" ht="22.5">
      <c r="A13" s="679"/>
      <c r="B13" s="724"/>
      <c r="C13" s="679"/>
      <c r="D13" s="667" t="s">
        <v>168</v>
      </c>
      <c r="E13" s="664" t="str">
        <f>"Наименование юридического лица"&amp;IF(TEMPLATE_SPHERE="TKO"," (индивидуального предпринимателя)","")</f>
        <v>Наименование юридического лица</v>
      </c>
      <c r="F13" s="663"/>
      <c r="G13" s="66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97"/>
    </row>
    <row customHeight="1" ht="22.5" hidden="1">
      <c r="A14" s="679"/>
      <c r="B14" s="724"/>
      <c r="C14" s="679"/>
      <c r="D14" s="1232" t="s">
        <v>413</v>
      </c>
      <c r="E14" s="1233" t="s">
        <v>414</v>
      </c>
      <c r="F14" s="1234" t="str">
        <f>IF(inn="","",inn)</f>
        <v>2536112729</v>
      </c>
      <c r="G14" s="1235" t="s">
        <v>415</v>
      </c>
      <c r="H14" s="697"/>
    </row>
    <row customHeight="1" ht="22.5" hidden="1">
      <c r="A15" s="679"/>
      <c r="B15" s="724"/>
      <c r="C15" s="679"/>
      <c r="D15" s="1232" t="s">
        <v>416</v>
      </c>
      <c r="E15" s="1233" t="s">
        <v>417</v>
      </c>
      <c r="F15" s="1234" t="str">
        <f>IF(kpp="","",kpp)</f>
        <v>253801001</v>
      </c>
      <c r="G15" s="1235" t="s">
        <v>418</v>
      </c>
      <c r="H15" s="697"/>
    </row>
    <row customHeight="1" ht="36.75">
      <c r="A16" s="679"/>
      <c r="B16" s="724"/>
      <c r="C16" s="679"/>
      <c r="D16" s="667" t="s">
        <v>99</v>
      </c>
      <c r="E16" s="66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63"/>
      <c r="G16" s="66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97"/>
    </row>
    <row customHeight="1" ht="22.5">
      <c r="A17" s="679"/>
      <c r="B17" s="724"/>
      <c r="C17" s="679"/>
      <c r="D17" s="667" t="s">
        <v>86</v>
      </c>
      <c r="E17" s="664" t="str">
        <f>"Дата присвоения ОГРН"&amp;IF(TEMPLATE_SPHERE="TKO",""," (ОГРНИП)")</f>
        <v>Дата присвоения ОГРН (ОГРНИП)</v>
      </c>
      <c r="F17" s="1959" t="s">
        <v>24</v>
      </c>
      <c r="G17" s="666" t="str">
        <f>"Дата присвоения ОГРН"&amp;IF(TEMPLATE_SPHERE="TKO",""," (ОГРНИП)")&amp;" указывается в виде «ДД.ММ.ГГГГ»."</f>
        <v>Дата присвоения ОГРН (ОГРНИП) указывается в виде «ДД.ММ.ГГГГ».</v>
      </c>
      <c r="H17" s="697"/>
    </row>
    <row customHeight="1" ht="56.25">
      <c r="A18" s="679"/>
      <c r="B18" s="724"/>
      <c r="C18" s="679"/>
      <c r="D18" s="667" t="s">
        <v>87</v>
      </c>
      <c r="E18" s="66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63"/>
      <c r="G18" s="696"/>
      <c r="H18" s="697"/>
    </row>
    <row customHeight="1" ht="22.5" hidden="1">
      <c r="A19" s="2336" t="s">
        <v>419</v>
      </c>
      <c r="B19" s="724"/>
      <c r="C19" s="2347"/>
      <c r="D19" s="667" t="str">
        <f>A19</f>
        <v>5.1</v>
      </c>
      <c r="E19" s="664" t="s">
        <v>420</v>
      </c>
      <c r="F19" s="665" t="s">
        <v>412</v>
      </c>
      <c r="G19" s="666" t="s">
        <v>421</v>
      </c>
      <c r="H19" s="697"/>
      <c r="I19" s="1074"/>
    </row>
    <row customHeight="1" ht="24" hidden="1">
      <c r="A20" s="2336"/>
      <c r="B20" s="724"/>
      <c r="C20" s="2347"/>
      <c r="D20" s="662" t="str">
        <f>D19&amp;".1"</f>
        <v>5.1.1</v>
      </c>
      <c r="E20" s="661" t="s">
        <v>422</v>
      </c>
      <c r="F20" s="1103" t="s">
        <v>24</v>
      </c>
      <c r="G20" s="696"/>
      <c r="H20" s="697"/>
      <c r="I20" s="1074"/>
    </row>
    <row customHeight="1" ht="22.5" hidden="1">
      <c r="A21" s="2336"/>
      <c r="B21" s="724"/>
      <c r="C21" s="2347"/>
      <c r="D21" s="662" t="str">
        <f>D19&amp;".2"</f>
        <v>5.1.2</v>
      </c>
      <c r="E21" s="661" t="s">
        <v>423</v>
      </c>
      <c r="F21" s="1960" t="s">
        <v>24</v>
      </c>
      <c r="G21" s="666" t="s">
        <v>424</v>
      </c>
      <c r="H21" s="697"/>
      <c r="I21" s="1074"/>
    </row>
    <row customHeight="1" ht="22.5" hidden="1">
      <c r="A22" s="2336"/>
      <c r="B22" s="724"/>
      <c r="C22" s="2347"/>
      <c r="D22" s="662" t="str">
        <f>D19&amp;".3"</f>
        <v>5.1.3</v>
      </c>
      <c r="E22" s="661" t="s">
        <v>425</v>
      </c>
      <c r="F22" s="1103" t="s">
        <v>24</v>
      </c>
      <c r="G22" s="696"/>
      <c r="H22" s="697"/>
      <c r="I22" s="1074"/>
    </row>
    <row customHeight="1" ht="22.5" hidden="1">
      <c r="A23" s="2336"/>
      <c r="B23" s="724"/>
      <c r="C23" s="2347"/>
      <c r="D23" s="662" t="str">
        <f>D19&amp;".4"</f>
        <v>5.1.4</v>
      </c>
      <c r="E23" s="661" t="s">
        <v>426</v>
      </c>
      <c r="F23" s="1103" t="s">
        <v>24</v>
      </c>
      <c r="G23" s="666" t="s">
        <v>427</v>
      </c>
      <c r="H23" s="697"/>
      <c r="I23" s="1074"/>
    </row>
    <row customHeight="1" ht="22.5" hidden="1">
      <c r="A24" s="2207"/>
      <c r="B24" s="724"/>
      <c r="C24" s="714"/>
      <c r="D24" s="689"/>
      <c r="E24" s="1392" t="s">
        <v>428</v>
      </c>
      <c r="F24" s="690"/>
      <c r="G24" s="691"/>
      <c r="H24" s="697"/>
      <c r="I24" s="1074"/>
    </row>
    <row s="16297" customFormat="1" customHeight="1" ht="24.75" hidden="1">
      <c r="A25" s="679"/>
      <c r="B25" s="724"/>
      <c r="C25" s="724"/>
      <c r="D25" s="1229" t="s">
        <v>86</v>
      </c>
      <c r="E25" s="1231" t="s">
        <v>429</v>
      </c>
      <c r="F25" s="1236" t="s">
        <v>412</v>
      </c>
      <c r="G25" s="1231"/>
    </row>
    <row s="16297" customFormat="1" customHeight="1" ht="11.25" hidden="1">
      <c r="A26" s="679"/>
      <c r="B26" s="724"/>
      <c r="C26" s="724"/>
      <c r="D26" s="1229" t="s">
        <v>430</v>
      </c>
      <c r="E26" s="1230" t="s">
        <v>431</v>
      </c>
      <c r="F26" s="1236" t="s">
        <v>412</v>
      </c>
      <c r="G26" s="1231"/>
    </row>
    <row s="16297" customFormat="1" customHeight="1" ht="11.25" hidden="1">
      <c r="A27" s="679"/>
      <c r="B27" s="724"/>
      <c r="C27" s="724"/>
      <c r="D27" s="1229" t="s">
        <v>432</v>
      </c>
      <c r="E27" s="1237" t="s">
        <v>433</v>
      </c>
      <c r="F27" s="1238"/>
      <c r="G27" s="12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16297" customFormat="1" customHeight="1" ht="11.25" hidden="1">
      <c r="A28" s="679"/>
      <c r="B28" s="724"/>
      <c r="C28" s="724"/>
      <c r="D28" s="1229" t="s">
        <v>434</v>
      </c>
      <c r="E28" s="1237" t="s">
        <v>435</v>
      </c>
      <c r="F28" s="1238"/>
      <c r="G28" s="12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16297" customFormat="1" customHeight="1" ht="11.25" hidden="1">
      <c r="A29" s="679"/>
      <c r="B29" s="724"/>
      <c r="C29" s="724"/>
      <c r="D29" s="1229" t="s">
        <v>436</v>
      </c>
      <c r="E29" s="1237" t="s">
        <v>437</v>
      </c>
      <c r="F29" s="1238"/>
      <c r="G29" s="12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16297" customFormat="1" customHeight="1" ht="11.25" hidden="1">
      <c r="A30" s="679"/>
      <c r="B30" s="724"/>
      <c r="C30" s="724"/>
      <c r="D30" s="1229" t="s">
        <v>438</v>
      </c>
      <c r="E30" s="1230" t="s">
        <v>439</v>
      </c>
      <c r="F30" s="1238"/>
      <c r="G30" s="1231"/>
    </row>
    <row s="16297" customFormat="1" customHeight="1" ht="11.25" hidden="1">
      <c r="A31" s="679"/>
      <c r="B31" s="724"/>
      <c r="C31" s="724"/>
      <c r="D31" s="1229" t="s">
        <v>440</v>
      </c>
      <c r="E31" s="1230" t="s">
        <v>441</v>
      </c>
      <c r="F31" s="1238"/>
      <c r="G31" s="1231"/>
    </row>
    <row s="16297" customFormat="1" customHeight="1" ht="11.25" hidden="1">
      <c r="A32" s="679"/>
      <c r="B32" s="724"/>
      <c r="C32" s="724"/>
      <c r="D32" s="1229" t="s">
        <v>442</v>
      </c>
      <c r="E32" s="1230" t="s">
        <v>443</v>
      </c>
      <c r="F32" s="1239"/>
      <c r="G32" s="1231"/>
    </row>
    <row customHeight="1" ht="22.5">
      <c r="A33" s="679" t="str">
        <f>IF(TEMPLATE_SPHERE="HEAT","6","5")</f>
        <v>5</v>
      </c>
      <c r="B33" s="724"/>
      <c r="C33" s="679"/>
      <c r="D33" s="662" t="str">
        <f>A33</f>
        <v>5</v>
      </c>
      <c r="E33" s="66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65" t="s">
        <v>412</v>
      </c>
      <c r="G33" s="696"/>
      <c r="H33" s="697"/>
    </row>
    <row customHeight="1" ht="22.5">
      <c r="A34" s="679"/>
      <c r="B34" s="724"/>
      <c r="C34" s="679"/>
      <c r="D34" s="662" t="str">
        <f>D33&amp;".1"</f>
        <v>5.1</v>
      </c>
      <c r="E34" s="664" t="str">
        <f>"фамилия"&amp;IF(TEMPLATE_SPHERE&lt;&gt;"HEAT"," руководителя","")</f>
        <v>фамилия руководителя</v>
      </c>
      <c r="F34" s="663"/>
      <c r="G34" s="66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697"/>
    </row>
    <row customHeight="1" ht="22.5">
      <c r="A35" s="679"/>
      <c r="B35" s="724"/>
      <c r="C35" s="679"/>
      <c r="D35" s="662" t="str">
        <f>D33&amp;".2"</f>
        <v>5.2</v>
      </c>
      <c r="E35" s="664" t="str">
        <f>"имя"&amp;IF(TEMPLATE_SPHERE&lt;&gt;"HEAT"," руководителя","")</f>
        <v>имя руководителя</v>
      </c>
      <c r="F35" s="663"/>
      <c r="G35" s="66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697"/>
    </row>
    <row customHeight="1" ht="22.5">
      <c r="A36" s="679"/>
      <c r="B36" s="724"/>
      <c r="C36" s="679"/>
      <c r="D36" s="662" t="str">
        <f>D33&amp;".3"</f>
        <v>5.3</v>
      </c>
      <c r="E36" s="664" t="str">
        <f>"отчество"&amp;IF(TEMPLATE_SPHERE&lt;&gt;"HEAT"," руководителя","")</f>
        <v>отчество руководителя</v>
      </c>
      <c r="F36" s="920"/>
      <c r="G36" s="66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697"/>
    </row>
    <row customHeight="1" ht="33.75">
      <c r="A37" s="679"/>
      <c r="B37" s="724"/>
      <c r="C37" s="679"/>
      <c r="D37" s="662">
        <f>D33+1</f>
        <v>6</v>
      </c>
      <c r="E37" s="66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63"/>
      <c r="G37" s="666" t="s">
        <v>444</v>
      </c>
      <c r="H37" s="697"/>
    </row>
    <row customHeight="1" ht="33.75">
      <c r="A38" s="679"/>
      <c r="B38" s="724"/>
      <c r="C38" s="679"/>
      <c r="D38" s="662">
        <f>D37+1</f>
        <v>7</v>
      </c>
      <c r="E38" s="66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63"/>
      <c r="G38" s="666" t="s">
        <v>444</v>
      </c>
      <c r="H38" s="697"/>
    </row>
    <row customHeight="1" ht="22.5">
      <c r="A39" s="679"/>
      <c r="B39" s="724"/>
      <c r="C39" s="679"/>
      <c r="D39" s="662">
        <f>D38+1</f>
        <v>8</v>
      </c>
      <c r="E39" s="65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65" t="s">
        <v>412</v>
      </c>
      <c r="G39" s="234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97"/>
    </row>
    <row customHeight="1" ht="22.5" hidden="1">
      <c r="A40" s="679"/>
      <c r="B40" s="724"/>
      <c r="C40" s="679"/>
      <c r="D40" s="662" t="str">
        <f>D39&amp;".0"</f>
        <v>8.0</v>
      </c>
      <c r="E40" s="1832"/>
      <c r="F40" s="1103"/>
      <c r="G40" s="2345"/>
      <c r="H40" s="697"/>
    </row>
    <row customHeight="1" ht="22.5">
      <c r="A41" s="679"/>
      <c r="B41" s="679"/>
      <c r="C41" s="1915"/>
      <c r="D41" s="662" t="str">
        <f>D39&amp;".1"</f>
        <v>8.1</v>
      </c>
      <c r="E41" s="1082"/>
      <c r="F41" s="1083"/>
      <c r="G41" s="2345"/>
      <c r="H41" s="697"/>
    </row>
    <row customHeight="1" ht="15">
      <c r="A42" s="679"/>
      <c r="B42" s="724"/>
      <c r="C42" s="679"/>
      <c r="D42" s="689"/>
      <c r="E42" s="637" t="s">
        <v>445</v>
      </c>
      <c r="F42" s="691"/>
      <c r="G42" s="2346"/>
      <c r="H42" s="698"/>
    </row>
    <row customHeight="1" ht="25.5">
      <c r="A43" s="679"/>
      <c r="B43" s="724"/>
      <c r="C43" s="679"/>
      <c r="D43" s="662">
        <f>D39+1</f>
        <v>9</v>
      </c>
      <c r="E43" s="66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84"/>
      <c r="G43" s="66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97"/>
    </row>
    <row customHeight="1" ht="22.5">
      <c r="A44" s="679"/>
      <c r="B44" s="724"/>
      <c r="C44" s="679"/>
      <c r="D44" s="662">
        <f>D43+1</f>
        <v>10</v>
      </c>
      <c r="E44" s="66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600"/>
      <c r="G44" s="696" t="s">
        <v>446</v>
      </c>
      <c r="H44" s="697"/>
    </row>
    <row customHeight="1" ht="22.5">
      <c r="A45" s="679"/>
      <c r="B45" s="724"/>
      <c r="C45" s="679"/>
      <c r="D45" s="662">
        <f>D44+1</f>
        <v>11</v>
      </c>
      <c r="E45" s="660" t="s">
        <v>447</v>
      </c>
      <c r="F45" s="665" t="s">
        <v>412</v>
      </c>
      <c r="G45" s="659" t="str">
        <f>IF(TEMPLATE_SPHERE="TKO","Указывается режим работы организации.","")</f>
        <v/>
      </c>
      <c r="H45" s="697"/>
    </row>
    <row customHeight="1" ht="22.5">
      <c r="A46" s="679"/>
      <c r="B46" s="724"/>
      <c r="C46" s="679"/>
      <c r="D46" s="662" t="str">
        <f>D45&amp;".1"</f>
        <v>11.1</v>
      </c>
      <c r="E46" s="664" t="str">
        <f>"режим работы регулируемой организации"&amp;IF(TEMPLATE_SPHERE="HEAT",", ЕТО, ТО","")</f>
        <v>режим работы регулируемой организации</v>
      </c>
      <c r="F46" s="1911"/>
      <c r="G46" s="659" t="s">
        <v>448</v>
      </c>
      <c r="H46" s="697"/>
    </row>
    <row customHeight="1" ht="22.5">
      <c r="A47" s="2336"/>
      <c r="B47" s="724"/>
      <c r="C47" s="714"/>
      <c r="D47" s="662" t="str">
        <f>D45&amp;".2"</f>
        <v>11.2</v>
      </c>
      <c r="E47" s="664" t="s">
        <v>449</v>
      </c>
      <c r="F47" s="712"/>
      <c r="G47" s="659" t="s">
        <v>450</v>
      </c>
      <c r="H47" s="697"/>
    </row>
    <row customHeight="1" ht="22.5">
      <c r="A48" s="2336"/>
      <c r="B48" s="724"/>
      <c r="C48" s="714"/>
      <c r="D48" s="662" t="str">
        <f>D45&amp;".3"</f>
        <v>11.3</v>
      </c>
      <c r="E48" s="664" t="s">
        <v>451</v>
      </c>
      <c r="F48" s="712"/>
      <c r="G48" s="659" t="s">
        <v>452</v>
      </c>
      <c r="H48" s="697"/>
    </row>
    <row customHeight="1" ht="22.5">
      <c r="A49" s="2336"/>
      <c r="B49" s="724"/>
      <c r="C49" s="714"/>
      <c r="D49" s="662" t="str">
        <f>IF(TEMPLATE_SPHERE="TKO",D45&amp;".0",D45&amp;".4")</f>
        <v>11.4</v>
      </c>
      <c r="E49" s="658" t="s">
        <v>453</v>
      </c>
      <c r="F49" s="1912"/>
      <c r="G49" s="1989" t="s">
        <v>454</v>
      </c>
      <c r="H49" s="697"/>
    </row>
    <row customHeight="1" ht="22.5">
      <c r="A50" s="679"/>
      <c r="B50" s="724"/>
      <c r="C50" s="679"/>
      <c r="D50" s="689"/>
      <c r="E50" s="637" t="s">
        <v>455</v>
      </c>
      <c r="F50" s="690"/>
      <c r="G50" s="1989" t="s">
        <v>456</v>
      </c>
      <c r="H50" s="698"/>
    </row>
    <row customHeight="1" ht="22.5">
      <c r="A51" s="1080"/>
      <c r="B51" s="724"/>
      <c r="C51" s="714"/>
      <c r="D51" s="662">
        <f>D45+1</f>
        <v>12</v>
      </c>
      <c r="E51" s="750" t="s">
        <v>457</v>
      </c>
      <c r="F51" s="712"/>
      <c r="G51" s="19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697"/>
    </row>
    <row customHeight="1" ht="11.25">
      <c r="A52" s="679"/>
      <c r="B52" s="724"/>
      <c r="C52" s="679"/>
    </row>
    <row s="16326" customFormat="1" customHeight="1" ht="30">
      <c r="A53" s="1914"/>
      <c r="B53" s="725"/>
      <c r="C53" s="2337"/>
      <c r="D53" s="23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40"/>
      <c r="F53" s="2340"/>
      <c r="G53" s="2340"/>
      <c r="H53" s="676"/>
      <c r="I53" s="676"/>
    </row>
    <row s="16326" customFormat="1" customHeight="1" ht="39.75">
      <c r="A54" s="679"/>
      <c r="B54" s="724"/>
      <c r="C54" s="2337"/>
      <c r="D54" s="2340"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340"/>
      <c r="F54" s="2340"/>
      <c r="G54" s="2340"/>
    </row>
    <row customHeight="1" ht="11.25">
      <c r="D55" s="680"/>
      <c r="E55" s="681"/>
      <c r="F55" s="681"/>
      <c r="G55" s="681"/>
    </row>
    <row customHeight="1" ht="27">
      <c r="D56" s="683"/>
      <c r="E56" s="680"/>
      <c r="F56" s="692"/>
      <c r="G56" s="692"/>
    </row>
    <row customHeight="1" ht="11.25">
      <c r="D57" s="680"/>
      <c r="E57" s="680"/>
      <c r="F57" s="681"/>
      <c r="G57" s="681"/>
    </row>
    <row customHeight="1" ht="39">
      <c r="D58" s="684"/>
      <c r="E58" s="693"/>
      <c r="F58" s="693"/>
      <c r="G58" s="693"/>
    </row>
    <row customHeight="1" ht="27">
      <c r="D59" s="684"/>
      <c r="E59" s="693"/>
      <c r="F59" s="693"/>
      <c r="G59" s="693"/>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9BA49D-0A5D-8747-9B8C-E4B0A1EF3797}"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16403" width="9.140625" hidden="1" customWidth="1"/>
    <col min="2" max="2" style="16404" width="9.140625" hidden="1" customWidth="1"/>
    <col min="3" max="3" style="16405" width="3.7109375" customWidth="1"/>
    <col min="4" max="4" style="16404" width="5.57421875" customWidth="1"/>
    <col min="5" max="5" style="16404" width="48.421875" customWidth="1"/>
    <col min="6" max="6" style="16404" width="38.140625" customWidth="1"/>
    <col min="7" max="7" style="15861" width="1.7109375" hidden="1" customWidth="1"/>
    <col min="8" max="11" style="16404" width="19.8515625" hidden="1" customWidth="1"/>
    <col min="12" max="12" style="16404" width="9.7109375" hidden="1" customWidth="1"/>
    <col min="13" max="18" style="16404" width="19.8515625" hidden="1" customWidth="1"/>
    <col min="19" max="19" style="15861" width="1.7109375" hidden="1" customWidth="1"/>
    <col min="20" max="22" style="16406" width="19.8515625" hidden="1" customWidth="1"/>
    <col min="23" max="23" style="15861" width="1.7109375" hidden="1" customWidth="1"/>
    <col min="24" max="26" style="16406" width="19.8515625" hidden="1" customWidth="1"/>
    <col min="27" max="27" style="15861" width="1.7109375" hidden="1" customWidth="1"/>
    <col min="28" max="29" style="16406" width="19.8515625" customWidth="1"/>
    <col min="30" max="30" style="15861" width="1.7109375" hidden="1" customWidth="1"/>
    <col min="31" max="31" style="16404" width="103.7109375" hidden="1" customWidth="1"/>
    <col min="32" max="33" style="16406" width="103.7109375" hidden="1" customWidth="1"/>
    <col min="34" max="34" style="16406" width="103.7109375" customWidth="1"/>
    <col min="35" max="35" style="16407" width="3.7109375" customWidth="1"/>
    <col min="36" max="38" style="16408" width="10.57421875"/>
    <col min="39" max="39" style="16408" width="13.7109375" hidden="1" customWidth="1"/>
    <col min="40" max="40" style="16408" width="15.421875" customWidth="1"/>
    <col min="41" max="41" style="16408" width="16.28125" customWidth="1"/>
    <col min="42" max="45" style="16408" width="10.57421875"/>
  </cols>
  <sheetData>
    <row customHeight="1" ht="14.25" hidden="1">
      <c r="E1" s="634"/>
      <c r="F1" s="634"/>
      <c r="G1" s="634"/>
      <c r="H1" s="2363" t="s">
        <v>458</v>
      </c>
      <c r="I1" s="2363"/>
      <c r="J1" s="2363"/>
      <c r="K1" s="2363"/>
      <c r="L1" s="2363"/>
      <c r="M1" s="2363"/>
      <c r="N1" s="2363"/>
      <c r="O1" s="2363"/>
      <c r="P1" s="2363"/>
      <c r="Q1" s="2363"/>
      <c r="R1" s="2363"/>
      <c r="T1" s="2363" t="s">
        <v>459</v>
      </c>
      <c r="U1" s="2363"/>
      <c r="V1" s="2363"/>
      <c r="X1" s="2363" t="s">
        <v>460</v>
      </c>
      <c r="Y1" s="2363"/>
      <c r="Z1" s="2363"/>
      <c r="AB1" s="2363" t="s">
        <v>461</v>
      </c>
      <c r="AC1" s="2363"/>
    </row>
    <row customHeight="1" ht="14.25" hidden="1"/>
    <row s="16341" customFormat="1" customHeight="1" ht="6">
      <c r="C3" s="923"/>
      <c r="D3" s="924"/>
      <c r="E3" s="924"/>
      <c r="F3" s="924"/>
      <c r="G3" s="924"/>
      <c r="H3" s="924" t="s">
        <v>462</v>
      </c>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c r="AJ3" s="733"/>
      <c r="AK3" s="733"/>
      <c r="AL3" s="733"/>
      <c r="AM3" s="733"/>
      <c r="AN3" s="733"/>
      <c r="AO3" s="733"/>
      <c r="AP3" s="733"/>
      <c r="AQ3" s="733"/>
      <c r="AR3" s="733"/>
      <c r="AS3" s="733"/>
    </row>
    <row customHeight="1" ht="37.5">
      <c r="C4" s="672"/>
      <c r="D4" s="2301" t="str">
        <f>ORG_VD_NAME_FORM</f>
        <v>Форма 1. Информация об организации, осуществляющей горячее водоснабжение (общая информация)</v>
      </c>
      <c r="E4" s="2302"/>
      <c r="F4" s="2302"/>
      <c r="G4" s="2302"/>
      <c r="H4" s="2302"/>
      <c r="I4" s="2302"/>
      <c r="J4" s="2302"/>
      <c r="K4" s="2302"/>
      <c r="L4" s="2302"/>
      <c r="M4" s="2302"/>
      <c r="N4" s="2302"/>
      <c r="O4" s="2302"/>
      <c r="P4" s="2302"/>
      <c r="Q4" s="2302"/>
      <c r="R4" s="2303"/>
      <c r="S4" s="1075"/>
      <c r="T4" s="921"/>
      <c r="U4" s="921"/>
      <c r="V4" s="921"/>
      <c r="W4" s="921"/>
      <c r="X4" s="921"/>
      <c r="Y4" s="921"/>
      <c r="Z4" s="921"/>
      <c r="AA4" s="921"/>
      <c r="AB4" s="921"/>
      <c r="AC4" s="921"/>
      <c r="AD4" s="921"/>
      <c r="AE4" s="713"/>
      <c r="AF4" s="713"/>
      <c r="AG4" s="713"/>
      <c r="AH4" s="713"/>
      <c r="AI4" s="710"/>
    </row>
    <row s="15861" customFormat="1" customHeight="1" ht="17.25">
      <c r="A5" s="981"/>
      <c r="C5" s="1044"/>
      <c r="D5" s="2360" t="str">
        <f>IF(org=0,"Не определено",org)</f>
        <v>КГУП "Примтеплоэнерго"</v>
      </c>
      <c r="E5" s="2361"/>
      <c r="F5" s="2361"/>
      <c r="G5" s="2361"/>
      <c r="H5" s="2361"/>
      <c r="I5" s="2361"/>
      <c r="J5" s="2361"/>
      <c r="K5" s="2361"/>
      <c r="L5" s="2361"/>
      <c r="M5" s="2361"/>
      <c r="N5" s="2361"/>
      <c r="O5" s="2361"/>
      <c r="P5" s="2361"/>
      <c r="Q5" s="2361"/>
      <c r="R5" s="2362"/>
      <c r="S5" s="1075"/>
      <c r="T5" s="921"/>
      <c r="U5" s="921"/>
      <c r="V5" s="921"/>
      <c r="W5" s="921"/>
      <c r="X5" s="921"/>
      <c r="Y5" s="921"/>
      <c r="Z5" s="921"/>
      <c r="AA5" s="921"/>
      <c r="AB5" s="921"/>
      <c r="AC5" s="921"/>
      <c r="AD5" s="921"/>
      <c r="AE5" s="713"/>
      <c r="AF5" s="713"/>
      <c r="AG5" s="713"/>
      <c r="AH5" s="713"/>
      <c r="AI5" s="710"/>
      <c r="AJ5" s="733"/>
      <c r="AK5" s="733"/>
      <c r="AL5" s="733"/>
      <c r="AM5" s="733"/>
      <c r="AN5" s="733"/>
      <c r="AO5" s="733"/>
      <c r="AP5" s="733"/>
      <c r="AQ5" s="733"/>
      <c r="AR5" s="733"/>
      <c r="AS5" s="733"/>
    </row>
    <row s="16353" customFormat="1" customHeight="1" ht="11.25">
      <c r="A6" s="701"/>
      <c r="C6" s="708"/>
      <c r="D6" s="707"/>
      <c r="E6" s="707"/>
      <c r="F6" s="707"/>
      <c r="G6" s="707"/>
      <c r="H6" s="707"/>
      <c r="I6" s="707"/>
      <c r="J6" s="707"/>
      <c r="K6" s="707"/>
      <c r="L6" s="707"/>
      <c r="M6" s="707"/>
      <c r="N6" s="707"/>
      <c r="O6" s="707"/>
      <c r="P6" s="707"/>
      <c r="Q6" s="707"/>
      <c r="R6" s="974"/>
      <c r="S6" s="974"/>
      <c r="T6" s="707"/>
      <c r="U6" s="707"/>
      <c r="V6" s="934"/>
      <c r="W6" s="934"/>
      <c r="X6" s="707"/>
      <c r="Y6" s="707"/>
      <c r="Z6" s="934"/>
      <c r="AA6" s="934"/>
      <c r="AB6" s="707"/>
      <c r="AC6" s="934"/>
      <c r="AD6" s="934"/>
      <c r="AE6" s="707"/>
      <c r="AF6" s="707"/>
      <c r="AG6" s="707"/>
      <c r="AH6" s="707"/>
      <c r="AJ6" s="711"/>
      <c r="AK6" s="711"/>
      <c r="AL6" s="711"/>
      <c r="AM6" s="711"/>
      <c r="AN6" s="711"/>
      <c r="AO6" s="711"/>
      <c r="AP6" s="711"/>
      <c r="AQ6" s="711"/>
      <c r="AR6" s="711"/>
      <c r="AS6" s="711"/>
    </row>
    <row customHeight="1" ht="14.25">
      <c r="C7" s="672"/>
      <c r="D7" s="2349" t="s">
        <v>406</v>
      </c>
      <c r="E7" s="2364"/>
      <c r="F7" s="2364"/>
      <c r="G7" s="2364"/>
      <c r="H7" s="2364"/>
      <c r="I7" s="2364"/>
      <c r="J7" s="2364"/>
      <c r="K7" s="2364"/>
      <c r="L7" s="2364"/>
      <c r="M7" s="2364"/>
      <c r="N7" s="2364"/>
      <c r="O7" s="2364"/>
      <c r="P7" s="2364"/>
      <c r="Q7" s="2364"/>
      <c r="R7" s="2364"/>
      <c r="S7" s="2364"/>
      <c r="T7" s="2364"/>
      <c r="U7" s="2364"/>
      <c r="V7" s="2364"/>
      <c r="W7" s="2364"/>
      <c r="X7" s="2364"/>
      <c r="Y7" s="2364"/>
      <c r="Z7" s="2364"/>
      <c r="AA7" s="2364"/>
      <c r="AB7" s="2364"/>
      <c r="AC7" s="2364"/>
      <c r="AD7" s="2365"/>
      <c r="AE7" s="2348" t="s">
        <v>407</v>
      </c>
      <c r="AF7" s="2348" t="s">
        <v>407</v>
      </c>
      <c r="AG7" s="2348" t="s">
        <v>407</v>
      </c>
      <c r="AH7" s="2348" t="s">
        <v>407</v>
      </c>
    </row>
    <row customHeight="1" ht="25.5">
      <c r="C8" s="672"/>
      <c r="D8" s="2253" t="s">
        <v>84</v>
      </c>
      <c r="E8" s="2348" t="str">
        <f>"Наименование "&amp;IF(TEMPLATE_SPHERE&lt;&gt;"HEAT","централизованной ","")&amp;"системы "&amp;TEMPLATE_SPHERE_RUS</f>
        <v>Наименование централизованной системы горячего водоснабжения</v>
      </c>
      <c r="F8" s="2348" t="str">
        <f>IF(TEMPLATE_SPHERE&lt;&gt;"HEAT","Регулируемый вид деятельности","Вид регулируемой деятельности")</f>
        <v>Регулируемый вид деятельности</v>
      </c>
      <c r="G8" s="1050"/>
      <c r="H8" s="2354" t="s">
        <v>463</v>
      </c>
      <c r="I8" s="2356" t="s">
        <v>464</v>
      </c>
      <c r="J8" s="2348" t="s">
        <v>465</v>
      </c>
      <c r="K8" s="2348"/>
      <c r="L8" s="2348"/>
      <c r="M8" s="2349"/>
      <c r="N8" s="2348" t="s">
        <v>466</v>
      </c>
      <c r="O8" s="2348"/>
      <c r="P8" s="2348" t="s">
        <v>467</v>
      </c>
      <c r="Q8" s="2348"/>
      <c r="R8" s="2352" t="s">
        <v>468</v>
      </c>
      <c r="S8" s="1046"/>
      <c r="T8" s="2350" t="s">
        <v>469</v>
      </c>
      <c r="U8" s="2350" t="s">
        <v>470</v>
      </c>
      <c r="V8" s="2350" t="s">
        <v>471</v>
      </c>
      <c r="W8" s="1048"/>
      <c r="X8" s="2350" t="s">
        <v>472</v>
      </c>
      <c r="Y8" s="2350" t="s">
        <v>473</v>
      </c>
      <c r="Z8" s="2350" t="s">
        <v>474</v>
      </c>
      <c r="AA8" s="1048"/>
      <c r="AB8" s="2350" t="s">
        <v>475</v>
      </c>
      <c r="AC8" s="2350" t="s">
        <v>468</v>
      </c>
      <c r="AD8" s="1048"/>
      <c r="AE8" s="2348"/>
      <c r="AF8" s="2348"/>
      <c r="AG8" s="2348"/>
      <c r="AH8" s="2348"/>
    </row>
    <row customHeight="1" ht="43.5">
      <c r="C9" s="672"/>
      <c r="D9" s="2253"/>
      <c r="E9" s="2348"/>
      <c r="F9" s="2348"/>
      <c r="G9" s="1051"/>
      <c r="H9" s="2355"/>
      <c r="I9" s="2357"/>
      <c r="J9" s="647" t="s">
        <v>476</v>
      </c>
      <c r="K9" s="647" t="s">
        <v>477</v>
      </c>
      <c r="L9" s="647" t="s">
        <v>478</v>
      </c>
      <c r="M9" s="653" t="s">
        <v>479</v>
      </c>
      <c r="N9" s="647" t="s">
        <v>480</v>
      </c>
      <c r="O9" s="647" t="s">
        <v>479</v>
      </c>
      <c r="P9" s="647" t="s">
        <v>481</v>
      </c>
      <c r="Q9" s="647" t="s">
        <v>479</v>
      </c>
      <c r="R9" s="2353"/>
      <c r="S9" s="1047"/>
      <c r="T9" s="2351"/>
      <c r="U9" s="2351"/>
      <c r="V9" s="2351"/>
      <c r="W9" s="1049"/>
      <c r="X9" s="2351"/>
      <c r="Y9" s="2351"/>
      <c r="Z9" s="2351"/>
      <c r="AA9" s="1049"/>
      <c r="AB9" s="2351"/>
      <c r="AC9" s="2351"/>
      <c r="AD9" s="1049"/>
      <c r="AE9" s="2348"/>
      <c r="AF9" s="2348"/>
      <c r="AG9" s="2348"/>
      <c r="AH9" s="2348"/>
    </row>
    <row customHeight="1" ht="12" hidden="1">
      <c r="C10" s="709"/>
      <c r="D10" s="670"/>
      <c r="E10" s="670"/>
      <c r="F10" s="670"/>
      <c r="G10" s="670"/>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69"/>
      <c r="AP10" s="722"/>
      <c r="AQ10" s="722"/>
    </row>
    <row s="16382" customFormat="1" customHeight="1" ht="11.25" hidden="1">
      <c r="C11" s="720"/>
      <c r="D11" s="721" t="s">
        <v>482</v>
      </c>
      <c r="E11" s="721"/>
      <c r="F11" s="721"/>
      <c r="G11" s="721"/>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657"/>
      <c r="AF11" s="657"/>
      <c r="AG11" s="657"/>
      <c r="AH11" s="657"/>
      <c r="AJ11" s="711"/>
      <c r="AK11" s="711"/>
      <c r="AL11" s="711"/>
      <c r="AM11" s="711"/>
      <c r="AN11" s="711"/>
      <c r="AO11" s="711"/>
      <c r="AP11" s="711"/>
      <c r="AQ11" s="711"/>
      <c r="AR11" s="711"/>
      <c r="AS11" s="711"/>
    </row>
    <row customHeight="1" ht="14.25">
      <c r="A12" s="669"/>
      <c r="C12" s="672"/>
      <c r="D12" s="656" t="s">
        <v>168</v>
      </c>
      <c r="E12" s="2004" t="s">
        <v>24</v>
      </c>
      <c r="F12" s="1077"/>
      <c r="G12" s="1078"/>
      <c r="H12" s="2005"/>
      <c r="I12" s="2005"/>
      <c r="J12" s="655"/>
      <c r="K12" s="2091"/>
      <c r="L12" s="654"/>
      <c r="M12" s="2091"/>
      <c r="N12" s="655"/>
      <c r="O12" s="2091"/>
      <c r="P12" s="655"/>
      <c r="Q12" s="2091"/>
      <c r="R12" s="655"/>
      <c r="S12" s="1076"/>
      <c r="T12" s="2005"/>
      <c r="U12" s="655"/>
      <c r="V12" s="655"/>
      <c r="W12" s="1049"/>
      <c r="X12" s="2005"/>
      <c r="Y12" s="655"/>
      <c r="Z12" s="655"/>
      <c r="AA12" s="1049"/>
      <c r="AB12" s="2005"/>
      <c r="AC12" s="655"/>
      <c r="AD12" s="1049"/>
      <c r="AE12" s="2358" t="s">
        <v>483</v>
      </c>
      <c r="AF12" s="2358" t="s">
        <v>484</v>
      </c>
      <c r="AG12" s="2358" t="s">
        <v>485</v>
      </c>
      <c r="AH12" s="2358" t="s">
        <v>486</v>
      </c>
      <c r="AI12" s="669"/>
      <c r="AM12" s="733"/>
      <c r="AP12" s="722" t="s">
        <v>487</v>
      </c>
      <c r="AQ12" s="722" t="s">
        <v>487</v>
      </c>
    </row>
    <row customHeight="1" ht="17.25">
      <c r="A13" s="669"/>
      <c r="C13" s="672"/>
      <c r="D13" s="627"/>
      <c r="E13" s="1091" t="str">
        <f>IF(TITLE_DIFFERENTIATION_TYPE="нет","","Добавить систему")</f>
        <v/>
      </c>
      <c r="F13" s="1091" t="str">
        <f>IF(TITLE_DIFFERENTIATION_TYPE="нет","Добавить вид деятельности","")</f>
        <v>Добавить вид деятельности</v>
      </c>
      <c r="G13" s="535"/>
      <c r="H13" s="628"/>
      <c r="I13" s="628"/>
      <c r="J13" s="628"/>
      <c r="K13" s="628"/>
      <c r="L13" s="628"/>
      <c r="M13" s="628"/>
      <c r="N13" s="628"/>
      <c r="O13" s="628"/>
      <c r="P13" s="628"/>
      <c r="Q13" s="628"/>
      <c r="R13" s="628"/>
      <c r="S13" s="628"/>
      <c r="T13" s="628"/>
      <c r="U13" s="628"/>
      <c r="V13" s="628"/>
      <c r="W13" s="628"/>
      <c r="X13" s="628"/>
      <c r="Y13" s="628"/>
      <c r="Z13" s="628"/>
      <c r="AA13" s="628"/>
      <c r="AB13" s="628"/>
      <c r="AC13" s="628"/>
      <c r="AD13" s="1079"/>
      <c r="AE13" s="2359"/>
      <c r="AF13" s="2359"/>
      <c r="AG13" s="2359"/>
      <c r="AH13" s="2359"/>
      <c r="AI13" s="669"/>
    </row>
    <row customHeight="1" ht="14.25">
      <c r="AI14" s="669"/>
    </row>
    <row customHeight="1" ht="14.25">
      <c r="E15" s="980"/>
      <c r="L15" s="980"/>
    </row>
    <row customHeight="1" ht="14.25">
      <c r="L16" s="980"/>
    </row>
    <row customHeight="1" ht="14.25">
      <c r="L17" s="980"/>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DA143B-7795-7358-E7E6-6090011A9EA3}"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16431" width="9.140625" hidden="1" customWidth="1"/>
    <col min="2" max="2" style="16432" width="9.140625" hidden="1" customWidth="1"/>
    <col min="3" max="3" style="16405" width="3.7109375" customWidth="1"/>
    <col min="4" max="4" style="16432" width="5.57421875" customWidth="1"/>
    <col min="5" max="5" style="16432" width="38.140625" customWidth="1"/>
    <col min="6" max="7" style="16432" width="3.7109375" customWidth="1"/>
    <col min="8" max="8" style="16432" width="38.28125" customWidth="1"/>
    <col min="9" max="9" style="16432" width="35.7109375" customWidth="1"/>
    <col min="10" max="10" style="16432" width="103.7109375" customWidth="1"/>
    <col min="11" max="11" style="16194" width="3.7109375" customWidth="1"/>
    <col min="12" max="14" style="16433" width="10.57421875"/>
    <col min="15" max="15" style="16433" width="13.7109375" customWidth="1"/>
    <col min="16" max="16" style="16433" width="15.421875" customWidth="1"/>
    <col min="17" max="17" style="16433" width="16.28125" customWidth="1"/>
    <col min="18" max="21" style="16433" width="10.57421875"/>
  </cols>
  <sheetData>
    <row customHeight="1" ht="14.25" hidden="1">
      <c r="E1" s="634"/>
      <c r="F1" s="634"/>
      <c r="G1" s="634"/>
      <c r="H1" s="2363" t="s">
        <v>458</v>
      </c>
      <c r="I1" s="2363"/>
    </row>
    <row s="16409" customFormat="1" customHeight="1" ht="14.25" hidden="1">
      <c r="C2" s="1846"/>
      <c r="D2" s="2367" t="s">
        <v>168</v>
      </c>
      <c r="E2" s="2369"/>
      <c r="F2" s="1852"/>
      <c r="G2" s="1847" t="s">
        <v>168</v>
      </c>
      <c r="H2" s="1850"/>
      <c r="I2" s="1848"/>
      <c r="L2" s="1849"/>
      <c r="M2" s="1849"/>
      <c r="N2" s="1849"/>
      <c r="O2" s="1849" t="s">
        <v>488</v>
      </c>
      <c r="P2" s="1849"/>
      <c r="Q2" s="1849"/>
      <c r="R2" s="1851" t="s">
        <v>487</v>
      </c>
      <c r="S2" s="1851" t="s">
        <v>487</v>
      </c>
      <c r="T2" s="1849"/>
      <c r="U2" s="1849"/>
    </row>
    <row s="16409" customFormat="1" customHeight="1" ht="14.25" hidden="1">
      <c r="C3" s="1846"/>
      <c r="D3" s="2368"/>
      <c r="E3" s="2370"/>
      <c r="F3" s="627"/>
      <c r="G3" s="1091"/>
      <c r="H3" s="1091" t="s">
        <v>489</v>
      </c>
      <c r="I3" s="535"/>
      <c r="L3" s="1849"/>
      <c r="M3" s="1849"/>
      <c r="N3" s="1849"/>
      <c r="O3" s="1849"/>
      <c r="P3" s="1849"/>
      <c r="Q3" s="1849"/>
      <c r="R3" s="1851"/>
      <c r="S3" s="1851"/>
      <c r="T3" s="1849"/>
      <c r="U3" s="1849"/>
    </row>
    <row customHeight="1" ht="14.25" hidden="1"/>
    <row s="16420" customFormat="1" customHeight="1" ht="6">
      <c r="C5" s="923"/>
      <c r="D5" s="924"/>
      <c r="E5" s="924"/>
      <c r="F5" s="924"/>
      <c r="G5" s="924"/>
      <c r="H5" s="924" t="s">
        <v>462</v>
      </c>
      <c r="I5" s="924"/>
      <c r="J5" s="924"/>
      <c r="L5" s="1841"/>
      <c r="M5" s="1841"/>
      <c r="N5" s="1841"/>
      <c r="O5" s="1841"/>
      <c r="P5" s="1841"/>
      <c r="Q5" s="1841"/>
      <c r="R5" s="1841"/>
      <c r="S5" s="1841"/>
      <c r="T5" s="1841"/>
      <c r="U5" s="1841"/>
    </row>
    <row customHeight="1" ht="27.75">
      <c r="C6" s="1743"/>
      <c r="D6" s="2366" t="s">
        <v>490</v>
      </c>
      <c r="E6" s="2366"/>
      <c r="F6" s="2366"/>
      <c r="G6" s="2366"/>
      <c r="H6" s="2366"/>
      <c r="I6" s="2366"/>
      <c r="J6" s="713"/>
      <c r="K6" s="1842"/>
    </row>
    <row customHeight="1" ht="17.25">
      <c r="C7" s="1743"/>
      <c r="D7" s="2335" t="str">
        <f>IF(org=0,"Не определено",org)</f>
        <v>КГУП "Примтеплоэнерго"</v>
      </c>
      <c r="E7" s="2335"/>
      <c r="F7" s="2335"/>
      <c r="G7" s="2335"/>
      <c r="H7" s="2335"/>
      <c r="I7" s="2335"/>
      <c r="J7" s="713"/>
      <c r="K7" s="1842"/>
    </row>
    <row s="16425" customFormat="1" customHeight="1" ht="6">
      <c r="A8" s="1838"/>
      <c r="C8" s="708"/>
      <c r="D8" s="707"/>
      <c r="E8" s="707"/>
      <c r="F8" s="707"/>
      <c r="G8" s="707"/>
      <c r="H8" s="707"/>
      <c r="I8" s="707"/>
      <c r="J8" s="707"/>
      <c r="L8" s="1841"/>
      <c r="M8" s="1841"/>
      <c r="N8" s="1841"/>
      <c r="O8" s="1841"/>
      <c r="P8" s="1841"/>
      <c r="Q8" s="1841"/>
      <c r="R8" s="1841"/>
      <c r="S8" s="1841"/>
      <c r="T8" s="1841"/>
      <c r="U8" s="1841"/>
    </row>
    <row s="16425" customFormat="1" customHeight="1" ht="6">
      <c r="A9" s="1838"/>
      <c r="C9" s="708"/>
      <c r="D9" s="707"/>
      <c r="E9" s="707"/>
      <c r="F9" s="707"/>
      <c r="G9" s="707"/>
      <c r="H9" s="707"/>
      <c r="I9" s="707"/>
      <c r="J9" s="707"/>
      <c r="L9" s="1849"/>
      <c r="M9" s="1849"/>
      <c r="N9" s="1849"/>
      <c r="O9" s="1849"/>
      <c r="P9" s="1849"/>
      <c r="Q9" s="1849"/>
      <c r="R9" s="1849"/>
      <c r="S9" s="1849"/>
      <c r="T9" s="1849"/>
      <c r="U9" s="1849"/>
    </row>
    <row customHeight="1" ht="14.25">
      <c r="C10" s="1743"/>
      <c r="D10" s="2349" t="s">
        <v>406</v>
      </c>
      <c r="E10" s="2364"/>
      <c r="F10" s="2364"/>
      <c r="G10" s="2364"/>
      <c r="H10" s="2364"/>
      <c r="I10" s="2364"/>
      <c r="J10" s="2348" t="s">
        <v>407</v>
      </c>
    </row>
    <row customHeight="1" ht="25.5">
      <c r="C11" s="1743"/>
      <c r="D11" s="2253" t="s">
        <v>84</v>
      </c>
      <c r="E11" s="2348" t="s">
        <v>164</v>
      </c>
      <c r="F11" s="2311" t="s">
        <v>84</v>
      </c>
      <c r="G11" s="2312"/>
      <c r="H11" s="2310" t="s">
        <v>491</v>
      </c>
      <c r="I11" s="2310" t="s">
        <v>492</v>
      </c>
      <c r="J11" s="2348"/>
    </row>
    <row customHeight="1" ht="14.25">
      <c r="C12" s="1743"/>
      <c r="D12" s="2253"/>
      <c r="E12" s="2348"/>
      <c r="F12" s="2319"/>
      <c r="G12" s="2320"/>
      <c r="H12" s="2371"/>
      <c r="I12" s="2371"/>
      <c r="J12" s="2348"/>
    </row>
    <row s="16382" customFormat="1" customHeight="1" ht="11.25" hidden="1">
      <c r="C13" s="720"/>
      <c r="D13" s="721" t="s">
        <v>482</v>
      </c>
      <c r="E13" s="721"/>
      <c r="F13" s="721"/>
      <c r="G13" s="721"/>
      <c r="H13" s="719"/>
      <c r="I13" s="719"/>
      <c r="J13" s="657"/>
      <c r="L13" s="1841"/>
      <c r="M13" s="1841"/>
      <c r="N13" s="1841"/>
      <c r="O13" s="1841"/>
      <c r="P13" s="1841"/>
      <c r="Q13" s="1841"/>
      <c r="R13" s="1841"/>
      <c r="S13" s="1841"/>
      <c r="T13" s="1841"/>
      <c r="U13" s="1841"/>
    </row>
    <row customHeight="1" ht="14.25">
      <c r="A14" s="1834"/>
      <c r="C14" s="1743"/>
      <c r="D14" s="2367" t="s">
        <v>168</v>
      </c>
      <c r="E14" s="2369"/>
      <c r="F14" s="1844"/>
      <c r="G14" s="1843" t="s">
        <v>168</v>
      </c>
      <c r="H14" s="1850"/>
      <c r="I14" s="1848"/>
      <c r="J14" s="2297" t="s">
        <v>493</v>
      </c>
      <c r="K14" s="1834"/>
      <c r="R14" s="722" t="s">
        <v>487</v>
      </c>
      <c r="S14" s="722" t="s">
        <v>487</v>
      </c>
    </row>
    <row customHeight="1" ht="14.25">
      <c r="A15" s="1834"/>
      <c r="C15" s="1743"/>
      <c r="D15" s="2368"/>
      <c r="E15" s="2370"/>
      <c r="F15" s="627"/>
      <c r="G15" s="1091"/>
      <c r="H15" s="1091" t="s">
        <v>489</v>
      </c>
      <c r="I15" s="535"/>
      <c r="J15" s="2298"/>
      <c r="K15" s="1834"/>
      <c r="R15" s="722"/>
      <c r="S15" s="722"/>
    </row>
    <row customHeight="1" ht="14.25">
      <c r="A16" s="1834"/>
      <c r="C16" s="1743"/>
      <c r="D16" s="627"/>
      <c r="E16" s="1091" t="s">
        <v>177</v>
      </c>
      <c r="F16" s="535"/>
      <c r="G16" s="535"/>
      <c r="H16" s="628"/>
      <c r="I16" s="628"/>
      <c r="J16" s="2299"/>
      <c r="K16" s="1834"/>
    </row>
    <row customHeight="1" ht="14.25">
      <c r="K17" s="1834"/>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2D05EA-6CC8-5492-0D22-DD030C8861FF}"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403" width="9.140625" hidden="1" customWidth="1"/>
    <col min="2" max="2" style="16404" width="9.140625" hidden="1" customWidth="1"/>
    <col min="3" max="3" style="15861" width="9.140625" hidden="1" customWidth="1"/>
    <col min="4" max="4" style="16405" width="3.7109375" customWidth="1"/>
    <col min="5" max="5" style="16404" width="6.28125" customWidth="1"/>
    <col min="6" max="6" style="15861" width="1.7109375" hidden="1" customWidth="1"/>
    <col min="7" max="8" style="16404" width="30.7109375" customWidth="1"/>
    <col min="9" max="9" style="16404" width="9.00390625" customWidth="1"/>
    <col min="10" max="10" style="16404" width="12.140625" customWidth="1"/>
    <col min="11" max="11" style="16404" width="46.7109375" customWidth="1"/>
    <col min="12" max="12" style="16404" width="100.28125" customWidth="1"/>
    <col min="13" max="13" style="16407" width="7.57421875" customWidth="1"/>
    <col min="14" max="22" style="16404" width="10.57421875"/>
  </cols>
  <sheetData>
    <row s="16408" customFormat="1" customHeight="1" ht="5.25" hidden="1">
      <c r="C1" s="733"/>
      <c r="D1" s="716"/>
      <c r="F1" s="733"/>
      <c r="G1" s="711" t="s">
        <v>79</v>
      </c>
      <c r="H1" s="711" t="s">
        <v>80</v>
      </c>
      <c r="I1" s="711" t="s">
        <v>81</v>
      </c>
      <c r="P1" s="711" t="s">
        <v>79</v>
      </c>
      <c r="Q1" s="711" t="s">
        <v>80</v>
      </c>
      <c r="R1" s="711" t="s">
        <v>81</v>
      </c>
    </row>
    <row s="16408" customFormat="1" customHeight="1" ht="5.25" hidden="1">
      <c r="C2" s="733"/>
      <c r="D2" s="716"/>
      <c r="F2" s="733"/>
    </row>
    <row s="16353" customFormat="1" customHeight="1" ht="6">
      <c r="A3" s="701"/>
      <c r="D3" s="708"/>
      <c r="E3" s="703"/>
      <c r="F3" s="703"/>
      <c r="G3" s="703"/>
      <c r="H3" s="703"/>
      <c r="I3" s="704"/>
      <c r="J3" s="705"/>
      <c r="K3" s="705"/>
      <c r="L3" s="705"/>
    </row>
    <row customHeight="1" ht="22.5">
      <c r="D4" s="672"/>
      <c r="E4" s="2372" t="s">
        <v>494</v>
      </c>
      <c r="F4" s="2372"/>
      <c r="G4" s="2373"/>
      <c r="H4" s="2373"/>
      <c r="I4" s="2374"/>
      <c r="J4" s="713"/>
      <c r="K4" s="675"/>
      <c r="L4" s="675"/>
    </row>
    <row s="15861" customFormat="1" customHeight="1" ht="17.25">
      <c r="A5" s="981"/>
      <c r="D5" s="1044"/>
      <c r="E5" s="2360" t="str">
        <f>IF(org=0,"Не определено",org)</f>
        <v>КГУП "Примтеплоэнерго"</v>
      </c>
      <c r="F5" s="2360"/>
      <c r="G5" s="2361"/>
      <c r="H5" s="2361"/>
      <c r="I5" s="2362"/>
      <c r="J5" s="713"/>
      <c r="K5" s="675"/>
      <c r="L5" s="675"/>
      <c r="M5" s="729"/>
    </row>
    <row s="16353" customFormat="1" customHeight="1" ht="11.25">
      <c r="A6" s="701"/>
      <c r="D6" s="708"/>
      <c r="E6" s="703"/>
      <c r="F6" s="703"/>
      <c r="G6" s="706"/>
      <c r="H6" s="706"/>
      <c r="I6" s="707"/>
      <c r="J6" s="707"/>
      <c r="K6" s="974"/>
      <c r="L6" s="707"/>
    </row>
    <row customHeight="1" ht="14.25">
      <c r="D7" s="672"/>
      <c r="E7" s="2342" t="s">
        <v>406</v>
      </c>
      <c r="F7" s="2342"/>
      <c r="G7" s="2343"/>
      <c r="H7" s="2343"/>
      <c r="I7" s="2343"/>
      <c r="J7" s="2343"/>
      <c r="K7" s="2343"/>
      <c r="L7" s="2348" t="s">
        <v>407</v>
      </c>
    </row>
    <row customHeight="1" ht="45">
      <c r="D8" s="672"/>
      <c r="E8" s="695" t="s">
        <v>84</v>
      </c>
      <c r="F8" s="1045"/>
      <c r="G8" s="687" t="s">
        <v>82</v>
      </c>
      <c r="H8" s="687" t="s">
        <v>83</v>
      </c>
      <c r="I8" s="636" t="s">
        <v>81</v>
      </c>
      <c r="J8" s="636" t="s">
        <v>495</v>
      </c>
      <c r="K8" s="636" t="s">
        <v>496</v>
      </c>
      <c r="L8" s="2348"/>
    </row>
    <row customHeight="1" ht="12" hidden="1">
      <c r="D9" s="709"/>
      <c r="E9" s="715"/>
      <c r="F9" s="1052"/>
      <c r="G9" s="715"/>
      <c r="H9" s="715"/>
      <c r="I9" s="715"/>
      <c r="J9" s="715"/>
      <c r="K9" s="715"/>
      <c r="L9" s="715"/>
      <c r="M9" s="669"/>
    </row>
    <row customHeight="1" ht="14.25" hidden="1">
      <c r="A10" s="727"/>
      <c r="B10" s="727"/>
      <c r="D10" s="728"/>
      <c r="E10" s="734">
        <v>0</v>
      </c>
      <c r="F10" s="1043"/>
      <c r="G10" s="730"/>
      <c r="H10" s="730"/>
      <c r="I10" s="730"/>
      <c r="J10" s="730"/>
      <c r="K10" s="730"/>
      <c r="L10" s="2358" t="s">
        <v>497</v>
      </c>
      <c r="M10" s="729"/>
      <c r="N10" s="727"/>
      <c r="O10" s="727"/>
      <c r="P10" s="727"/>
      <c r="Q10" s="727"/>
      <c r="R10" s="727"/>
      <c r="S10" s="727"/>
      <c r="T10" s="727"/>
      <c r="U10" s="727"/>
      <c r="V10" s="727"/>
    </row>
    <row customHeight="1" ht="15" hidden="1">
      <c r="A11" s="2235"/>
      <c r="B11" s="726"/>
      <c r="C11" s="726"/>
      <c r="D11" s="1087"/>
      <c r="E11" s="735"/>
      <c r="F11" s="735"/>
      <c r="G11" s="735"/>
      <c r="H11" s="735"/>
      <c r="I11" s="736"/>
      <c r="J11" s="737"/>
      <c r="K11" s="935"/>
      <c r="L11" s="2375"/>
      <c r="M11" s="733"/>
      <c r="N11" s="733"/>
      <c r="O11" s="733"/>
      <c r="P11" s="738"/>
      <c r="Q11" s="738"/>
      <c r="R11" s="739"/>
      <c r="S11" s="733"/>
      <c r="T11" s="733"/>
      <c r="U11" s="733"/>
      <c r="V11" s="733"/>
    </row>
    <row s="16353" customFormat="1" customHeight="1" ht="14.25">
      <c r="A12" s="2235"/>
      <c r="B12" s="726"/>
      <c r="C12" s="726"/>
      <c r="D12" s="1088"/>
      <c r="E12" s="1045">
        <v>1</v>
      </c>
      <c r="F12" s="1086">
        <v>23</v>
      </c>
      <c r="G12" s="1085"/>
      <c r="H12" s="1015"/>
      <c r="I12" s="1013"/>
      <c r="J12" s="742" t="s">
        <v>63</v>
      </c>
      <c r="K12" s="1388" t="s">
        <v>24</v>
      </c>
      <c r="L12" s="2375"/>
      <c r="M12" s="733"/>
      <c r="N12" s="733"/>
      <c r="O12" s="733"/>
      <c r="P12" s="738" t="s">
        <v>498</v>
      </c>
      <c r="Q12" s="738" t="s">
        <v>499</v>
      </c>
      <c r="R12" s="739" t="s">
        <v>500</v>
      </c>
      <c r="S12" s="733" t="s">
        <v>501</v>
      </c>
      <c r="T12" s="733"/>
      <c r="U12" s="733"/>
      <c r="V12" s="733"/>
    </row>
    <row customHeight="1" ht="15">
      <c r="A13" s="2235"/>
      <c r="B13" s="727"/>
      <c r="D13" s="728"/>
      <c r="E13" s="627"/>
      <c r="F13" s="751"/>
      <c r="G13" s="638" t="s">
        <v>98</v>
      </c>
      <c r="H13" s="626"/>
      <c r="I13" s="626"/>
      <c r="J13" s="626"/>
      <c r="K13" s="625"/>
      <c r="L13" s="2359"/>
      <c r="M13" s="731"/>
      <c r="N13" s="727"/>
      <c r="O13" s="727"/>
      <c r="P13" s="727"/>
      <c r="Q13" s="727"/>
      <c r="R13" s="727"/>
      <c r="S13" s="727"/>
      <c r="T13" s="727"/>
      <c r="U13" s="727"/>
      <c r="V13" s="727"/>
    </row>
    <row customHeight="1" ht="11.25">
      <c r="A14" s="701"/>
      <c r="B14" s="702"/>
      <c r="C14" s="702"/>
      <c r="D14" s="717"/>
      <c r="E14" s="702"/>
      <c r="F14" s="702"/>
      <c r="G14" s="702"/>
      <c r="H14" s="702"/>
      <c r="I14" s="702"/>
      <c r="J14" s="702"/>
      <c r="K14" s="702"/>
      <c r="L14" s="702"/>
      <c r="M14" s="702"/>
      <c r="N14" s="702"/>
      <c r="O14" s="702"/>
      <c r="P14" s="702"/>
      <c r="Q14" s="702"/>
      <c r="R14" s="702"/>
      <c r="S14" s="702"/>
      <c r="T14" s="702"/>
      <c r="U14" s="702"/>
      <c r="V14" s="702"/>
    </row>
    <row customHeight="1" ht="14.25">
      <c r="D15" s="688"/>
      <c r="E15" s="558"/>
      <c r="F15" s="558"/>
      <c r="G15" s="88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688"/>
      <c r="I15" s="688"/>
      <c r="J15" s="688"/>
      <c r="K15" s="688"/>
      <c r="L15" s="688"/>
    </row>
    <row r="18" customHeight="1" ht="14.25">
      <c r="G18" s="727"/>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4BC934-5484-1351-CB83-4E111BCC0C37}"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6550" width="10.57421875" hidden="1"/>
    <col min="2" max="2" style="16550" width="11.00390625" hidden="1" customWidth="1"/>
    <col min="3" max="3" style="16550" width="10.57421875" hidden="1"/>
    <col min="4" max="4" style="16550" width="11.8515625" hidden="1" customWidth="1"/>
    <col min="5" max="5" style="16550" width="10.00390625" hidden="1" customWidth="1"/>
    <col min="6" max="6" style="16550" width="8.7109375" hidden="1" customWidth="1"/>
    <col min="7" max="7" style="16550" width="7.57421875" hidden="1" customWidth="1"/>
    <col min="8" max="8" style="16550" width="11.421875" hidden="1" customWidth="1"/>
    <col min="9" max="9" style="16550" width="12.00390625" hidden="1" customWidth="1"/>
    <col min="10" max="10" style="16550" width="9.8515625" hidden="1" customWidth="1"/>
    <col min="11" max="11" style="16550" width="11.421875" hidden="1" customWidth="1"/>
    <col min="12" max="12" style="16630" width="19.140625" hidden="1" customWidth="1"/>
    <col min="13" max="14" style="16631" width="12.28125" hidden="1" customWidth="1"/>
    <col min="15" max="15" style="16631" width="23.421875" hidden="1" customWidth="1"/>
    <col min="16" max="16" style="16632" width="3.7109375" customWidth="1"/>
    <col min="17" max="18" style="16633" width="3.7109375" customWidth="1"/>
    <col min="19" max="19" style="16634" width="12.7109375" customWidth="1"/>
    <col min="20" max="20" style="16635" width="35.7109375" customWidth="1"/>
    <col min="21" max="21" style="16635" width="0.140625" customWidth="1"/>
    <col min="22" max="22" style="16635" width="24.7109375" hidden="1" customWidth="1"/>
    <col min="23" max="23" style="16635" width="0.140625" hidden="1" customWidth="1"/>
    <col min="24" max="25" style="16635" width="24.7109375" hidden="1" customWidth="1"/>
    <col min="26" max="26" style="16635" width="11.7109375" hidden="1" customWidth="1"/>
    <col min="27" max="27" style="16635" width="3.7109375" hidden="1" customWidth="1"/>
    <col min="28" max="28" style="16635" width="11.7109375" hidden="1" customWidth="1"/>
    <col min="29" max="29" style="16635" width="8.57421875" hidden="1" customWidth="1"/>
    <col min="30" max="30" style="16635" width="24.7109375" customWidth="1"/>
    <col min="31" max="31" style="16635" width="0.140625" customWidth="1"/>
    <col min="32" max="33" style="16635" width="24.7109375" customWidth="1"/>
    <col min="34" max="34" style="16635" width="11.7109375" customWidth="1"/>
    <col min="35" max="35" style="16635" width="3.7109375" customWidth="1"/>
    <col min="36" max="36" style="16635" width="11.7109375" customWidth="1"/>
    <col min="37" max="37" style="16635" width="8.57421875" hidden="1" customWidth="1"/>
    <col min="38" max="38" style="16635" width="4.7109375" customWidth="1"/>
    <col min="39" max="39" style="16635" width="115.7109375" customWidth="1"/>
    <col min="40" max="41" style="16622" width="10.57421875"/>
    <col min="42" max="42" style="16622" width="11.140625" customWidth="1"/>
    <col min="43" max="44" style="16622" width="10.57421875"/>
  </cols>
  <sheetData>
    <row customHeight="1" ht="14.25" hidden="1">
      <c r="Y1" s="549"/>
      <c r="Z1" s="549"/>
      <c r="AG1" s="549"/>
      <c r="AH1" s="549"/>
    </row>
    <row customHeight="1" ht="21" hidden="1">
      <c r="A2" s="1590"/>
      <c r="B2" s="1590"/>
      <c r="C2" s="1590"/>
      <c r="D2" s="1590"/>
      <c r="E2" s="2388">
        <v>1</v>
      </c>
      <c r="F2" s="1590"/>
      <c r="G2" s="1590"/>
      <c r="H2" s="1590"/>
      <c r="I2" s="1590"/>
      <c r="J2" s="1590"/>
      <c r="K2" s="1590"/>
      <c r="L2" s="1591"/>
      <c r="M2" s="1592"/>
      <c r="N2" s="1592"/>
      <c r="O2" s="1592"/>
      <c r="P2" s="583"/>
      <c r="Q2" s="582"/>
      <c r="R2" s="577"/>
      <c r="S2" s="1536">
        <f>INDEX(PT_DIFFERENTIATION_NUM_NTAR,MATCH(A2,PT_DIFFERENTIATION_NTAR_ID,0))</f>
      </c>
      <c r="T2" s="520" t="s">
        <v>179</v>
      </c>
      <c r="U2" s="522"/>
      <c r="V2" s="2382"/>
      <c r="W2" s="2383"/>
      <c r="X2" s="2383"/>
      <c r="Y2" s="2383"/>
      <c r="Z2" s="2383"/>
      <c r="AA2" s="2383"/>
      <c r="AB2" s="2383"/>
      <c r="AC2" s="2384"/>
      <c r="AD2" s="2382">
        <f>INDEX(PT_DIFFERENTIATION_NTAR,MATCH(A2,PT_DIFFERENTIATION_NTAR_ID,0))</f>
      </c>
      <c r="AE2" s="2383"/>
      <c r="AF2" s="2383"/>
      <c r="AG2" s="2383"/>
      <c r="AH2" s="2383"/>
      <c r="AI2" s="2383"/>
      <c r="AJ2" s="2383"/>
      <c r="AK2" s="2383"/>
      <c r="AL2" s="2384"/>
      <c r="AM2" s="1484" t="s">
        <v>502</v>
      </c>
      <c r="AO2" s="722"/>
      <c r="AP2" s="722" t="str">
        <f>IF(T2="","",T2)</f>
        <v>Наименование тарифа</v>
      </c>
      <c r="AQ2" s="722"/>
      <c r="AR2" s="722"/>
    </row>
    <row customHeight="1" ht="21" hidden="1">
      <c r="A3" s="1590"/>
      <c r="B3" s="1590"/>
      <c r="C3" s="1590"/>
      <c r="D3" s="1590"/>
      <c r="E3" s="2389"/>
      <c r="F3" s="2388">
        <v>1</v>
      </c>
      <c r="G3" s="1590"/>
      <c r="H3" s="1590"/>
      <c r="I3" s="1590"/>
      <c r="J3" s="1590"/>
      <c r="K3" s="1590"/>
      <c r="L3" s="1591"/>
      <c r="M3" s="1592"/>
      <c r="N3" s="1592"/>
      <c r="O3" s="1592"/>
      <c r="P3" s="1531"/>
      <c r="Q3" s="574"/>
      <c r="R3" s="575"/>
      <c r="S3" s="1536">
        <f>INDEX(PT_DIFFERENTIATION_NUM_TER,MATCH(B3,PT_DIFFERENTIATION_TER_ID,0))</f>
      </c>
      <c r="T3" s="530" t="s">
        <v>503</v>
      </c>
      <c r="U3" s="522"/>
      <c r="V3" s="2382"/>
      <c r="W3" s="2383"/>
      <c r="X3" s="2383"/>
      <c r="Y3" s="2383"/>
      <c r="Z3" s="2383"/>
      <c r="AA3" s="2383"/>
      <c r="AB3" s="2383"/>
      <c r="AC3" s="2384"/>
      <c r="AD3" s="2382">
        <f>INDEX(PT_DIFFERENTIATION_TER,MATCH(B3,PT_DIFFERENTIATION_TER_ID,0))</f>
      </c>
      <c r="AE3" s="2383"/>
      <c r="AF3" s="2383"/>
      <c r="AG3" s="2383"/>
      <c r="AH3" s="2383"/>
      <c r="AI3" s="2383"/>
      <c r="AJ3" s="2383"/>
      <c r="AK3" s="2383"/>
      <c r="AL3" s="2384"/>
      <c r="AM3" s="1484" t="s">
        <v>504</v>
      </c>
      <c r="AO3" s="722"/>
      <c r="AP3" s="722" t="str">
        <f>IF(T3="","",T3)</f>
        <v>Территория действия тарифа</v>
      </c>
      <c r="AQ3" s="722"/>
      <c r="AR3" s="722"/>
    </row>
    <row customHeight="1" ht="23.25" hidden="1">
      <c r="A4" s="1590"/>
      <c r="B4" s="1590"/>
      <c r="C4" s="1590"/>
      <c r="D4" s="1590"/>
      <c r="E4" s="2389"/>
      <c r="F4" s="2389"/>
      <c r="G4" s="2388">
        <v>1</v>
      </c>
      <c r="H4" s="1590"/>
      <c r="I4" s="1590"/>
      <c r="J4" s="1590"/>
      <c r="K4" s="1590"/>
      <c r="L4" s="1591"/>
      <c r="M4" s="1592"/>
      <c r="N4" s="1592"/>
      <c r="O4" s="1592"/>
      <c r="P4" s="576"/>
      <c r="Q4" s="574"/>
      <c r="R4" s="575"/>
      <c r="S4" s="1536">
        <f>INDEX(PT_DIFFERENTIATION_NUM_CS,MATCH(C4,PT_DIFFERENTIATION_CS_ID,0))</f>
      </c>
      <c r="T4" s="531" t="s">
        <v>505</v>
      </c>
      <c r="U4" s="522"/>
      <c r="V4" s="2382"/>
      <c r="W4" s="2383"/>
      <c r="X4" s="2383"/>
      <c r="Y4" s="2383"/>
      <c r="Z4" s="2383"/>
      <c r="AA4" s="2383"/>
      <c r="AB4" s="2383"/>
      <c r="AC4" s="2384"/>
      <c r="AD4" s="2382">
        <f>INDEX(PT_DIFFERENTIATION_CS,MATCH(C4,PT_DIFFERENTIATION_CS_ID,0))</f>
      </c>
      <c r="AE4" s="2383"/>
      <c r="AF4" s="2383"/>
      <c r="AG4" s="2383"/>
      <c r="AH4" s="2383"/>
      <c r="AI4" s="2383"/>
      <c r="AJ4" s="2383"/>
      <c r="AK4" s="2383"/>
      <c r="AL4" s="2384"/>
      <c r="AM4" s="1484" t="s">
        <v>506</v>
      </c>
      <c r="AO4" s="722"/>
      <c r="AP4" s="722" t="str">
        <f>IF(T4="","",T4)</f>
        <v>Наименование системы теплоснабжения </v>
      </c>
      <c r="AQ4" s="722"/>
      <c r="AR4" s="722"/>
    </row>
    <row customHeight="1" ht="21" hidden="1">
      <c r="A5" s="1590"/>
      <c r="B5" s="1590"/>
      <c r="C5" s="1590"/>
      <c r="D5" s="1590"/>
      <c r="E5" s="2389"/>
      <c r="F5" s="2389"/>
      <c r="G5" s="2389"/>
      <c r="H5" s="2388">
        <v>1</v>
      </c>
      <c r="I5" s="1590"/>
      <c r="J5" s="1590"/>
      <c r="K5" s="1590"/>
      <c r="L5" s="1591"/>
      <c r="M5" s="1592"/>
      <c r="N5" s="1592"/>
      <c r="O5" s="1592"/>
      <c r="P5" s="576"/>
      <c r="Q5" s="574"/>
      <c r="R5" s="575"/>
      <c r="S5" s="1536">
        <f>INDEX(PT_DIFFERENTIATION_NUM_IST_TE,MATCH(D5,PT_DIFFERENTIATION_IST_TE_ID,0))</f>
      </c>
      <c r="T5" s="532" t="s">
        <v>507</v>
      </c>
      <c r="U5" s="522"/>
      <c r="V5" s="2382"/>
      <c r="W5" s="2383"/>
      <c r="X5" s="2383"/>
      <c r="Y5" s="2383"/>
      <c r="Z5" s="2383"/>
      <c r="AA5" s="2383"/>
      <c r="AB5" s="2383"/>
      <c r="AC5" s="2384"/>
      <c r="AD5" s="2382">
        <f>INDEX(PT_DIFFERENTIATION_IST_TE,MATCH(D5,PT_DIFFERENTIATION_IST_TE_ID,0))</f>
      </c>
      <c r="AE5" s="2383"/>
      <c r="AF5" s="2383"/>
      <c r="AG5" s="2383"/>
      <c r="AH5" s="2383"/>
      <c r="AI5" s="2383"/>
      <c r="AJ5" s="2383"/>
      <c r="AK5" s="2383"/>
      <c r="AL5" s="2384"/>
      <c r="AM5" s="1484" t="s">
        <v>508</v>
      </c>
      <c r="AO5" s="722"/>
      <c r="AP5" s="722" t="str">
        <f>IF(T5="","",T5)</f>
        <v>Источник тепловой энергии  </v>
      </c>
      <c r="AQ5" s="722"/>
      <c r="AR5" s="722"/>
    </row>
    <row customHeight="1" ht="47.25" hidden="1">
      <c r="A6" s="1590"/>
      <c r="B6" s="1590"/>
      <c r="C6" s="1590"/>
      <c r="D6" s="1590"/>
      <c r="E6" s="2389"/>
      <c r="F6" s="2389"/>
      <c r="G6" s="2389"/>
      <c r="H6" s="2389"/>
      <c r="I6" s="2390">
        <f>S5&amp;".1"</f>
      </c>
      <c r="J6" s="1590"/>
      <c r="K6" s="1590"/>
      <c r="L6" s="1591" t="s">
        <v>509</v>
      </c>
      <c r="M6" s="759"/>
      <c r="P6" s="2392">
        <v>1</v>
      </c>
      <c r="Q6" s="1532"/>
      <c r="R6" s="578"/>
      <c r="S6" s="1536">
        <f>$I6</f>
      </c>
      <c r="T6" s="507" t="s">
        <v>510</v>
      </c>
      <c r="U6" s="522"/>
      <c r="V6" s="2376"/>
      <c r="W6" s="2377"/>
      <c r="X6" s="2377"/>
      <c r="Y6" s="2377"/>
      <c r="Z6" s="2377"/>
      <c r="AA6" s="2377"/>
      <c r="AB6" s="2377"/>
      <c r="AC6" s="2378"/>
      <c r="AD6" s="2376"/>
      <c r="AE6" s="2377"/>
      <c r="AF6" s="2377"/>
      <c r="AG6" s="2377"/>
      <c r="AH6" s="2377"/>
      <c r="AI6" s="2377"/>
      <c r="AJ6" s="2377"/>
      <c r="AK6" s="2377"/>
      <c r="AL6" s="2378"/>
      <c r="AM6" s="1484" t="s">
        <v>511</v>
      </c>
      <c r="AO6" s="722"/>
      <c r="AP6" s="722" t="str">
        <f>IF(T6="","",T6)</f>
        <v>Схема подключения теплопотребляющей установки к коллектору источника тепловой энергии</v>
      </c>
      <c r="AQ6" s="722"/>
      <c r="AR6" s="722"/>
    </row>
    <row customHeight="1" ht="21" hidden="1">
      <c r="A7" s="1590"/>
      <c r="B7" s="1590"/>
      <c r="C7" s="1590"/>
      <c r="D7" s="1590"/>
      <c r="E7" s="2389"/>
      <c r="F7" s="2389"/>
      <c r="G7" s="2389"/>
      <c r="H7" s="2389"/>
      <c r="I7" s="2391"/>
      <c r="J7" s="2390">
        <f>I6&amp;".1"</f>
      </c>
      <c r="K7" s="1590"/>
      <c r="L7" s="1591" t="s">
        <v>512</v>
      </c>
      <c r="M7" s="759"/>
      <c r="N7" s="1593"/>
      <c r="P7" s="2392"/>
      <c r="Q7" s="2392">
        <v>1</v>
      </c>
      <c r="R7" s="579"/>
      <c r="S7" s="1536">
        <f>$J7</f>
      </c>
      <c r="T7" s="508" t="s">
        <v>513</v>
      </c>
      <c r="U7" s="522"/>
      <c r="V7" s="2376"/>
      <c r="W7" s="2377"/>
      <c r="X7" s="2377"/>
      <c r="Y7" s="2377"/>
      <c r="Z7" s="2377"/>
      <c r="AA7" s="2377"/>
      <c r="AB7" s="2377"/>
      <c r="AC7" s="2378"/>
      <c r="AD7" s="2376"/>
      <c r="AE7" s="2377"/>
      <c r="AF7" s="2377"/>
      <c r="AG7" s="2377"/>
      <c r="AH7" s="2377"/>
      <c r="AI7" s="2377"/>
      <c r="AJ7" s="2377"/>
      <c r="AK7" s="2377"/>
      <c r="AL7" s="2378"/>
      <c r="AM7" s="1484" t="s">
        <v>514</v>
      </c>
      <c r="AO7" s="722"/>
      <c r="AP7" s="722" t="str">
        <f>IF(T7="","",T7)</f>
        <v>Группа потребителей</v>
      </c>
      <c r="AQ7" s="722"/>
      <c r="AR7" s="722"/>
    </row>
    <row customHeight="1" ht="21" hidden="1">
      <c r="A8" s="1590"/>
      <c r="B8" s="1590"/>
      <c r="C8" s="1590"/>
      <c r="D8" s="1590"/>
      <c r="E8" s="2389"/>
      <c r="F8" s="2389"/>
      <c r="G8" s="2389"/>
      <c r="H8" s="2389"/>
      <c r="I8" s="2391"/>
      <c r="J8" s="2391"/>
      <c r="K8" s="2390">
        <f>J7&amp;".1"</f>
      </c>
      <c r="L8" s="1591" t="s">
        <v>515</v>
      </c>
      <c r="M8" s="759"/>
      <c r="N8" s="1593"/>
      <c r="O8" s="1593"/>
      <c r="P8" s="2392"/>
      <c r="Q8" s="2392"/>
      <c r="R8" s="579">
        <v>1</v>
      </c>
      <c r="S8" s="1536">
        <f>$K8</f>
      </c>
      <c r="T8" s="1574"/>
      <c r="U8" s="522"/>
      <c r="V8" s="973"/>
      <c r="W8" s="547"/>
      <c r="X8" s="973"/>
      <c r="Y8" s="1483"/>
      <c r="Z8" s="2393"/>
      <c r="AA8" s="2263" t="s">
        <v>63</v>
      </c>
      <c r="AB8" s="2393"/>
      <c r="AC8" s="2263" t="s">
        <v>63</v>
      </c>
      <c r="AD8" s="973"/>
      <c r="AE8" s="547"/>
      <c r="AF8" s="973"/>
      <c r="AG8" s="1483"/>
      <c r="AH8" s="2393"/>
      <c r="AI8" s="2263" t="s">
        <v>63</v>
      </c>
      <c r="AJ8" s="2393"/>
      <c r="AK8" s="2263" t="s">
        <v>63</v>
      </c>
      <c r="AL8" s="547"/>
      <c r="AM8" s="2418" t="s">
        <v>516</v>
      </c>
      <c r="AN8" s="733">
        <f>STRCHECKDATE(V9:AL9)</f>
      </c>
      <c r="AO8" s="722"/>
      <c r="AP8" s="722" t="str">
        <f>IF(T8="","",T8)</f>
        <v/>
      </c>
      <c r="AQ8" s="722"/>
      <c r="AR8" s="722"/>
    </row>
    <row customHeight="1" ht="0.75" hidden="1">
      <c r="A9" s="1590"/>
      <c r="B9" s="1590"/>
      <c r="C9" s="1590"/>
      <c r="D9" s="1590"/>
      <c r="E9" s="2389"/>
      <c r="F9" s="2389"/>
      <c r="G9" s="2389"/>
      <c r="H9" s="2389"/>
      <c r="I9" s="2391"/>
      <c r="J9" s="2391"/>
      <c r="K9" s="2390"/>
      <c r="L9" s="1591"/>
      <c r="M9" s="759"/>
      <c r="N9" s="1593"/>
      <c r="O9" s="1593"/>
      <c r="P9" s="2392"/>
      <c r="Q9" s="2392"/>
      <c r="R9" s="579"/>
      <c r="S9" s="1533"/>
      <c r="T9" s="522"/>
      <c r="U9" s="522"/>
      <c r="V9" s="547"/>
      <c r="W9" s="547"/>
      <c r="X9" s="547"/>
      <c r="Y9" s="550" t="str">
        <f>Z8&amp;"-"&amp;AB8</f>
        <v>-</v>
      </c>
      <c r="Z9" s="2394"/>
      <c r="AA9" s="2263"/>
      <c r="AB9" s="2394"/>
      <c r="AC9" s="2263"/>
      <c r="AD9" s="547"/>
      <c r="AE9" s="547"/>
      <c r="AF9" s="547"/>
      <c r="AG9" s="550" t="str">
        <f>AH8&amp;"-"&amp;AJ8</f>
        <v>-</v>
      </c>
      <c r="AH9" s="2394"/>
      <c r="AI9" s="2263"/>
      <c r="AJ9" s="2394"/>
      <c r="AK9" s="2263"/>
      <c r="AL9" s="547"/>
      <c r="AM9" s="2419"/>
      <c r="AO9" s="722"/>
      <c r="AP9" s="722" t="str">
        <f>IF(T9="","",T9)</f>
        <v/>
      </c>
      <c r="AQ9" s="722"/>
      <c r="AR9" s="722"/>
    </row>
    <row customHeight="1" ht="15" hidden="1">
      <c r="A10" s="1590"/>
      <c r="B10" s="1590"/>
      <c r="C10" s="1590"/>
      <c r="D10" s="1590"/>
      <c r="E10" s="2389"/>
      <c r="F10" s="2389"/>
      <c r="G10" s="2389"/>
      <c r="H10" s="2389"/>
      <c r="I10" s="2391"/>
      <c r="J10" s="2390"/>
      <c r="K10" s="1590"/>
      <c r="L10" s="1591"/>
      <c r="M10" s="759"/>
      <c r="N10" s="1593"/>
      <c r="P10" s="2392"/>
      <c r="Q10" s="2392"/>
      <c r="R10" s="578"/>
      <c r="S10" s="1505"/>
      <c r="T10" s="510" t="s">
        <v>517</v>
      </c>
      <c r="U10" s="589"/>
      <c r="V10" s="589"/>
      <c r="W10" s="589"/>
      <c r="X10" s="589"/>
      <c r="Y10" s="589"/>
      <c r="Z10" s="589"/>
      <c r="AA10" s="589"/>
      <c r="AB10" s="589"/>
      <c r="AC10" s="589"/>
      <c r="AD10" s="589"/>
      <c r="AE10" s="589"/>
      <c r="AF10" s="589"/>
      <c r="AG10" s="589"/>
      <c r="AH10" s="589"/>
      <c r="AI10" s="589"/>
      <c r="AJ10" s="589"/>
      <c r="AK10" s="589"/>
      <c r="AL10" s="546"/>
      <c r="AM10" s="2420"/>
      <c r="AO10" s="722"/>
      <c r="AP10" s="722" t="str">
        <f>IF(T10="","",T10)</f>
        <v>Добавить вид теплоносителя (параметры теплоносителя)</v>
      </c>
      <c r="AQ10" s="722"/>
      <c r="AR10" s="722"/>
    </row>
    <row customHeight="1" ht="15" hidden="1">
      <c r="A11" s="1590"/>
      <c r="B11" s="1590"/>
      <c r="C11" s="1590"/>
      <c r="D11" s="1590"/>
      <c r="E11" s="2389"/>
      <c r="F11" s="2389"/>
      <c r="G11" s="2389"/>
      <c r="H11" s="2389"/>
      <c r="I11" s="2390"/>
      <c r="J11" s="1590"/>
      <c r="K11" s="1590"/>
      <c r="L11" s="1591"/>
      <c r="M11" s="759"/>
      <c r="P11" s="2392"/>
      <c r="Q11" s="1532"/>
      <c r="R11" s="578"/>
      <c r="S11" s="1505"/>
      <c r="T11" s="509" t="s">
        <v>518</v>
      </c>
      <c r="U11" s="589"/>
      <c r="V11" s="589"/>
      <c r="W11" s="589"/>
      <c r="X11" s="589"/>
      <c r="Y11" s="589"/>
      <c r="Z11" s="589"/>
      <c r="AA11" s="589"/>
      <c r="AB11" s="589"/>
      <c r="AC11" s="588"/>
      <c r="AD11" s="589"/>
      <c r="AE11" s="589"/>
      <c r="AF11" s="589"/>
      <c r="AG11" s="589"/>
      <c r="AH11" s="589"/>
      <c r="AI11" s="589"/>
      <c r="AJ11" s="589"/>
      <c r="AK11" s="588"/>
      <c r="AL11" s="589"/>
      <c r="AM11" s="525"/>
      <c r="AO11" s="722"/>
      <c r="AP11" s="722" t="str">
        <f>IF(T11="","",T11)</f>
        <v>Добавить группу потребителей</v>
      </c>
      <c r="AQ11" s="722"/>
      <c r="AR11" s="722"/>
    </row>
    <row customHeight="1" ht="14.25" hidden="1">
      <c r="A12" s="1590"/>
      <c r="B12" s="1590"/>
      <c r="C12" s="1590"/>
      <c r="D12" s="1590"/>
      <c r="E12" s="2389"/>
      <c r="F12" s="2389"/>
      <c r="G12" s="2389"/>
      <c r="H12" s="2388"/>
      <c r="I12" s="1590"/>
      <c r="J12" s="1590"/>
      <c r="K12" s="1590"/>
      <c r="L12" s="1591"/>
      <c r="M12" s="1592"/>
      <c r="N12" s="1592"/>
      <c r="O12" s="759"/>
      <c r="P12" s="582"/>
      <c r="Q12" s="597"/>
      <c r="R12" s="577"/>
      <c r="S12" s="1505"/>
      <c r="T12" s="587" t="s">
        <v>519</v>
      </c>
      <c r="U12" s="589"/>
      <c r="V12" s="589"/>
      <c r="W12" s="589"/>
      <c r="X12" s="589"/>
      <c r="Y12" s="589"/>
      <c r="Z12" s="589"/>
      <c r="AA12" s="589"/>
      <c r="AB12" s="589"/>
      <c r="AC12" s="588"/>
      <c r="AD12" s="589"/>
      <c r="AE12" s="589"/>
      <c r="AF12" s="589"/>
      <c r="AG12" s="589"/>
      <c r="AH12" s="589"/>
      <c r="AI12" s="589"/>
      <c r="AJ12" s="589"/>
      <c r="AK12" s="588"/>
      <c r="AL12" s="589"/>
      <c r="AM12" s="525"/>
      <c r="AO12" s="722"/>
      <c r="AP12" s="722" t="str">
        <f>IF(T12="","",T12)</f>
        <v>Добавить схему подключения</v>
      </c>
      <c r="AQ12" s="722"/>
      <c r="AR12" s="722"/>
    </row>
    <row s="16531" customFormat="1" customHeight="1" ht="0.75" hidden="1">
      <c r="A13" s="1541"/>
      <c r="B13" s="1541"/>
      <c r="C13" s="1541"/>
      <c r="D13" s="1541"/>
      <c r="E13" s="2389"/>
      <c r="F13" s="2389"/>
      <c r="G13" s="2388"/>
      <c r="H13" s="1541"/>
      <c r="I13" s="1541"/>
      <c r="J13" s="1541"/>
      <c r="K13" s="1541"/>
      <c r="L13" s="1566"/>
      <c r="M13" s="1542"/>
      <c r="N13" s="1542"/>
      <c r="P13" s="1543"/>
      <c r="Q13" s="1544"/>
      <c r="R13" s="1543"/>
      <c r="S13" s="1545"/>
      <c r="T13" s="1546" t="s">
        <v>520</v>
      </c>
      <c r="U13" s="1547"/>
      <c r="V13" s="1547"/>
      <c r="W13" s="1547"/>
      <c r="X13" s="1547"/>
      <c r="Y13" s="1547"/>
      <c r="Z13" s="1547"/>
      <c r="AA13" s="1547"/>
      <c r="AB13" s="1547"/>
      <c r="AC13" s="1547"/>
      <c r="AD13" s="1547"/>
      <c r="AE13" s="1547"/>
      <c r="AF13" s="1547"/>
      <c r="AG13" s="1547"/>
      <c r="AH13" s="1547"/>
      <c r="AI13" s="1547"/>
      <c r="AJ13" s="1547"/>
      <c r="AK13" s="1547"/>
      <c r="AL13" s="1547"/>
      <c r="AM13" s="1547"/>
      <c r="AO13" s="1011"/>
      <c r="AP13" s="1011" t="str">
        <f>IF(T13="","",T13)</f>
        <v>Добавить источник для дифференциации</v>
      </c>
      <c r="AQ13" s="1011"/>
      <c r="AR13" s="1011"/>
    </row>
    <row s="16531" customFormat="1" customHeight="1" ht="0.75" hidden="1">
      <c r="A14" s="1541"/>
      <c r="B14" s="1541"/>
      <c r="C14" s="1541"/>
      <c r="D14" s="1541"/>
      <c r="E14" s="2389"/>
      <c r="F14" s="2388"/>
      <c r="G14" s="1541"/>
      <c r="H14" s="1541"/>
      <c r="I14" s="1541"/>
      <c r="J14" s="1541"/>
      <c r="K14" s="1541"/>
      <c r="L14" s="1566"/>
      <c r="M14" s="1548"/>
      <c r="N14" s="1548"/>
      <c r="P14" s="1543"/>
      <c r="Q14" s="1544"/>
      <c r="R14" s="1543"/>
      <c r="S14" s="1549"/>
      <c r="T14" s="1550" t="s">
        <v>305</v>
      </c>
      <c r="U14" s="1551"/>
      <c r="V14" s="1551"/>
      <c r="W14" s="1551"/>
      <c r="X14" s="1551"/>
      <c r="Y14" s="1551"/>
      <c r="Z14" s="1551"/>
      <c r="AA14" s="1551"/>
      <c r="AB14" s="1551"/>
      <c r="AC14" s="1551"/>
      <c r="AD14" s="1551"/>
      <c r="AE14" s="1551"/>
      <c r="AF14" s="1551"/>
      <c r="AG14" s="1551"/>
      <c r="AH14" s="1551"/>
      <c r="AI14" s="1551"/>
      <c r="AJ14" s="1551"/>
      <c r="AK14" s="1551"/>
      <c r="AL14" s="1551"/>
      <c r="AM14" s="1551"/>
      <c r="AO14" s="1011"/>
      <c r="AP14" s="1011" t="str">
        <f>IF(T14="","",T14)</f>
        <v>Добавить централизованную систему для дифференциации</v>
      </c>
      <c r="AQ14" s="1011"/>
      <c r="AR14" s="1011"/>
    </row>
    <row s="16531" customFormat="1" customHeight="1" ht="0.75" hidden="1">
      <c r="A15" s="1541"/>
      <c r="B15" s="1541"/>
      <c r="C15" s="1541"/>
      <c r="D15" s="1541"/>
      <c r="E15" s="2388"/>
      <c r="F15" s="1541"/>
      <c r="G15" s="1541"/>
      <c r="H15" s="1541"/>
      <c r="I15" s="1541"/>
      <c r="J15" s="1541"/>
      <c r="K15" s="1541"/>
      <c r="L15" s="1566"/>
      <c r="M15" s="1548"/>
      <c r="N15" s="1548"/>
      <c r="P15" s="1543"/>
      <c r="Q15" s="1544"/>
      <c r="R15" s="1543"/>
      <c r="S15" s="1549"/>
      <c r="T15" s="1552" t="s">
        <v>358</v>
      </c>
      <c r="U15" s="1551"/>
      <c r="V15" s="1551"/>
      <c r="W15" s="1551"/>
      <c r="X15" s="1551"/>
      <c r="Y15" s="1551"/>
      <c r="Z15" s="1551"/>
      <c r="AA15" s="1551"/>
      <c r="AB15" s="1551"/>
      <c r="AC15" s="1551"/>
      <c r="AD15" s="1551"/>
      <c r="AE15" s="1551"/>
      <c r="AF15" s="1551"/>
      <c r="AG15" s="1551"/>
      <c r="AH15" s="1551"/>
      <c r="AI15" s="1551"/>
      <c r="AJ15" s="1551"/>
      <c r="AK15" s="1551"/>
      <c r="AL15" s="1551"/>
      <c r="AM15" s="1551"/>
      <c r="AO15" s="1011"/>
      <c r="AP15" s="1011" t="str">
        <f>IF(T15="","",T15)</f>
        <v>Добавить территорию для дифференциации</v>
      </c>
      <c r="AQ15" s="1011"/>
      <c r="AR15" s="1011"/>
    </row>
    <row customHeight="1" ht="14.25" hidden="1">
      <c r="AC16" s="549"/>
      <c r="AK16" s="549"/>
    </row>
    <row customHeight="1" ht="14.25" hidden="1">
      <c r="P17" s="1538"/>
      <c r="AD17" s="1587"/>
      <c r="AE17" s="1587"/>
      <c r="AF17" s="1587"/>
      <c r="AG17" s="1588"/>
      <c r="AH17" s="2386"/>
      <c r="AI17" s="2385" t="s">
        <v>63</v>
      </c>
      <c r="AJ17" s="2386"/>
      <c r="AK17" s="2385" t="s">
        <v>63</v>
      </c>
    </row>
    <row customHeight="1" ht="14.25" hidden="1">
      <c r="P18" s="1538"/>
      <c r="AD18" s="1587"/>
      <c r="AE18" s="1587"/>
      <c r="AF18" s="1587"/>
      <c r="AG18" s="550" t="str">
        <f>AH17&amp;"-"&amp;AJ17</f>
        <v>-</v>
      </c>
      <c r="AH18" s="2385"/>
      <c r="AI18" s="2385"/>
      <c r="AJ18" s="2385"/>
      <c r="AK18" s="2385"/>
    </row>
    <row customHeight="1" ht="14.25" hidden="1">
      <c r="P19" s="1538"/>
      <c r="AK19" s="549"/>
    </row>
    <row s="16550" customFormat="1" customHeight="1" ht="22.5" hidden="1">
      <c r="L20" s="1556"/>
      <c r="M20" s="1589"/>
      <c r="N20" s="1589"/>
      <c r="O20" s="1594" t="s">
        <v>521</v>
      </c>
      <c r="P20" s="1589"/>
      <c r="Q20" s="1598"/>
      <c r="R20" s="1598"/>
      <c r="S20" s="951"/>
      <c r="Z20" s="1594"/>
      <c r="AB20" s="1594"/>
      <c r="AC20" s="1593"/>
      <c r="AH20" s="1594"/>
      <c r="AJ20" s="1594"/>
      <c r="AK20" s="1593"/>
      <c r="AN20" s="733"/>
      <c r="AO20" s="733"/>
      <c r="AP20" s="733"/>
      <c r="AQ20" s="733"/>
      <c r="AR20" s="733"/>
    </row>
    <row s="16550" customFormat="1" customHeight="1" ht="14.25" hidden="1">
      <c r="L21" s="1556"/>
      <c r="M21" s="1589"/>
      <c r="N21" s="1589"/>
      <c r="O21" s="1589"/>
      <c r="P21" s="1589"/>
      <c r="Q21" s="1598"/>
      <c r="R21" s="1598"/>
      <c r="S21" s="951"/>
      <c r="AC21" s="1593"/>
      <c r="AK21" s="1593"/>
      <c r="AN21" s="733"/>
      <c r="AO21" s="733"/>
      <c r="AP21" s="733"/>
      <c r="AQ21" s="733"/>
      <c r="AR21" s="733"/>
    </row>
    <row s="16550" customFormat="1" customHeight="1" ht="14.25" hidden="1">
      <c r="L22" s="1556"/>
      <c r="M22" s="1589"/>
      <c r="N22" s="1589"/>
      <c r="O22" s="1591" t="s">
        <v>522</v>
      </c>
      <c r="P22" s="1589"/>
      <c r="Q22" s="1598"/>
      <c r="R22" s="1598"/>
      <c r="S22" s="951"/>
      <c r="T22" s="1384" t="s">
        <v>523</v>
      </c>
      <c r="AA22" s="408" t="s">
        <v>524</v>
      </c>
      <c r="AC22" s="408" t="s">
        <v>525</v>
      </c>
      <c r="AD22" s="1384" t="s">
        <v>523</v>
      </c>
      <c r="AI22" s="408" t="s">
        <v>526</v>
      </c>
      <c r="AK22" s="408" t="s">
        <v>525</v>
      </c>
      <c r="AN22" s="733"/>
      <c r="AO22" s="733"/>
      <c r="AP22" s="733"/>
      <c r="AQ22" s="733"/>
      <c r="AR22" s="733"/>
    </row>
    <row customHeight="1" ht="14.25" hidden="1">
      <c r="O23" s="1591"/>
      <c r="P23" s="1538"/>
    </row>
    <row customHeight="1" ht="14.25" hidden="1">
      <c r="O24" s="1591"/>
      <c r="P24" s="1538"/>
    </row>
    <row customHeight="1" ht="14.25">
      <c r="Q25" s="598"/>
      <c r="R25" s="598"/>
      <c r="S25" s="1502"/>
      <c r="T25" s="585"/>
      <c r="U25" s="585"/>
      <c r="V25" s="731"/>
      <c r="W25" s="731"/>
      <c r="X25" s="731"/>
      <c r="Y25" s="731"/>
      <c r="Z25" s="731"/>
      <c r="AA25" s="731"/>
      <c r="AB25" s="731"/>
      <c r="AC25" s="731"/>
      <c r="AD25" s="731"/>
      <c r="AE25" s="731"/>
      <c r="AF25" s="731"/>
      <c r="AG25" s="731"/>
      <c r="AH25" s="731"/>
      <c r="AI25" s="731"/>
      <c r="AJ25" s="731"/>
      <c r="AK25" s="731"/>
    </row>
    <row customHeight="1" ht="14.25">
      <c r="Q26" s="598"/>
      <c r="R26" s="598"/>
      <c r="S26" s="24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1"/>
      <c r="U26" s="2421"/>
      <c r="V26" s="2421"/>
      <c r="W26" s="2421"/>
      <c r="X26" s="2421"/>
      <c r="Y26" s="2421"/>
      <c r="Z26" s="2421"/>
      <c r="AA26" s="2421"/>
      <c r="AB26" s="2421"/>
      <c r="AC26" s="2421"/>
      <c r="AD26" s="2421"/>
      <c r="AE26" s="2421"/>
      <c r="AF26" s="2421"/>
      <c r="AG26" s="2421"/>
      <c r="AH26" s="2421"/>
      <c r="AI26" s="2421"/>
      <c r="AJ26" s="2421"/>
      <c r="AK26" s="1469"/>
    </row>
    <row customHeight="1" ht="14.25">
      <c r="Q27" s="598"/>
      <c r="R27" s="598"/>
      <c r="S27" s="2422" t="str">
        <f>IF(org=0,"Не определено",org)</f>
        <v>КГУП "Примтеплоэнерго"</v>
      </c>
      <c r="T27" s="2422"/>
      <c r="U27" s="2422"/>
      <c r="V27" s="2422"/>
      <c r="W27" s="2422"/>
      <c r="X27" s="2422"/>
      <c r="Y27" s="2422"/>
      <c r="Z27" s="2422"/>
      <c r="AA27" s="2422"/>
      <c r="AB27" s="2422"/>
      <c r="AC27" s="2422"/>
      <c r="AD27" s="2422"/>
      <c r="AE27" s="2422"/>
      <c r="AF27" s="2422"/>
      <c r="AG27" s="2422"/>
      <c r="AH27" s="2422"/>
      <c r="AI27" s="2422"/>
      <c r="AJ27" s="2422"/>
      <c r="AK27" s="1469"/>
    </row>
    <row customHeight="1" ht="14.25" hidden="1">
      <c r="Q28" s="598"/>
      <c r="R28" s="598"/>
      <c r="S28" s="1502"/>
      <c r="T28" s="585"/>
      <c r="U28" s="585"/>
      <c r="V28" s="544"/>
      <c r="W28" s="544"/>
      <c r="X28" s="544"/>
      <c r="Y28" s="544"/>
      <c r="Z28" s="544"/>
      <c r="AA28" s="544"/>
      <c r="AB28" s="544"/>
      <c r="AC28" s="544"/>
      <c r="AD28" s="544"/>
      <c r="AE28" s="544"/>
      <c r="AF28" s="544"/>
      <c r="AG28" s="544"/>
      <c r="AH28" s="544"/>
      <c r="AI28" s="544"/>
      <c r="AJ28" s="544"/>
      <c r="AK28" s="544"/>
      <c r="AL28" s="731"/>
    </row>
    <row s="16563" customFormat="1" customHeight="1" ht="25.5" hidden="1">
      <c r="A29" s="1595"/>
      <c r="B29" s="1595"/>
      <c r="C29" s="1595"/>
      <c r="D29" s="1595"/>
      <c r="E29" s="1595"/>
      <c r="F29" s="1595"/>
      <c r="G29" s="1595"/>
      <c r="H29" s="1595"/>
      <c r="I29" s="1595"/>
      <c r="J29" s="1595"/>
      <c r="K29" s="1595"/>
      <c r="L29" s="1596"/>
      <c r="M29" s="1595"/>
      <c r="N29" s="1595"/>
      <c r="O29" s="1595"/>
      <c r="S29" s="2379" t="s">
        <v>38</v>
      </c>
      <c r="T29" s="2379"/>
      <c r="U29" s="1599"/>
      <c r="V29" s="2381" t="str">
        <f>IF(TITLE_NAME_OR_PR_CHANGE="",IF(TITLE_NAME_OR_PR="","",TITLE_NAME_OR_PR),TITLE_NAME_OR_PR_CHANGE)</f>
        <v/>
      </c>
      <c r="W29" s="2381"/>
      <c r="X29" s="2381"/>
      <c r="Y29" s="2381"/>
      <c r="Z29" s="2381"/>
      <c r="AA29" s="2381"/>
      <c r="AB29" s="2381"/>
      <c r="AC29" s="548"/>
      <c r="AD29" s="2381" t="str">
        <f>IF(TITLE_NAME_OR_PR_CHANGE="",IF(TITLE_NAME_OR_PR="","",TITLE_NAME_OR_PR),TITLE_NAME_OR_PR_CHANGE)</f>
        <v/>
      </c>
      <c r="AE29" s="2381"/>
      <c r="AF29" s="2381"/>
      <c r="AG29" s="2381"/>
      <c r="AH29" s="2381"/>
      <c r="AI29" s="2381"/>
      <c r="AJ29" s="2381"/>
      <c r="AK29" s="548"/>
      <c r="AL29" s="548"/>
      <c r="AM29" s="502"/>
      <c r="AN29" s="590"/>
      <c r="AO29" s="590"/>
      <c r="AP29" s="590"/>
      <c r="AQ29" s="590"/>
      <c r="AR29" s="590"/>
    </row>
    <row s="16563" customFormat="1" customHeight="1" ht="18.75" hidden="1">
      <c r="A30" s="1595"/>
      <c r="B30" s="1595"/>
      <c r="C30" s="1595"/>
      <c r="D30" s="1595"/>
      <c r="E30" s="1595"/>
      <c r="F30" s="1595"/>
      <c r="G30" s="1595"/>
      <c r="H30" s="1595"/>
      <c r="I30" s="1595"/>
      <c r="J30" s="1595"/>
      <c r="K30" s="1595"/>
      <c r="L30" s="1596"/>
      <c r="M30" s="1595"/>
      <c r="N30" s="1595"/>
      <c r="O30" s="1595"/>
      <c r="S30" s="2379" t="s">
        <v>527</v>
      </c>
      <c r="T30" s="2379"/>
      <c r="U30" s="1599"/>
      <c r="V30" s="2380" t="str">
        <f>IF(TITLE_DATE_PR_CHANGE="",IF(TITLE_DATE_PR="","",TITLE_DATE_PR),TITLE_DATE_PR_CHANGE)</f>
        <v>45407.47206018519</v>
      </c>
      <c r="W30" s="2380"/>
      <c r="X30" s="2380"/>
      <c r="Y30" s="2380"/>
      <c r="Z30" s="2380"/>
      <c r="AA30" s="2380"/>
      <c r="AB30" s="2380"/>
      <c r="AC30" s="548"/>
      <c r="AD30" s="2380" t="str">
        <f>IF(TITLE_DATE_PR_CHANGE="",IF(TITLE_DATE_PR="","",TITLE_DATE_PR),TITLE_DATE_PR_CHANGE)</f>
        <v>45407.47206018519</v>
      </c>
      <c r="AE30" s="2380"/>
      <c r="AF30" s="2380"/>
      <c r="AG30" s="2380"/>
      <c r="AH30" s="2380"/>
      <c r="AI30" s="2380"/>
      <c r="AJ30" s="2380"/>
      <c r="AK30" s="548"/>
      <c r="AL30" s="548"/>
      <c r="AM30" s="502"/>
      <c r="AN30" s="590"/>
      <c r="AO30" s="590"/>
      <c r="AP30" s="590"/>
      <c r="AQ30" s="590"/>
      <c r="AR30" s="590"/>
    </row>
    <row s="16563" customFormat="1" customHeight="1" ht="18.75" hidden="1">
      <c r="A31" s="1595"/>
      <c r="B31" s="1595"/>
      <c r="C31" s="1595"/>
      <c r="D31" s="1595"/>
      <c r="E31" s="1595"/>
      <c r="F31" s="1595"/>
      <c r="G31" s="1595"/>
      <c r="H31" s="1595"/>
      <c r="I31" s="1595"/>
      <c r="J31" s="1595"/>
      <c r="K31" s="1595"/>
      <c r="L31" s="1596"/>
      <c r="M31" s="1595"/>
      <c r="N31" s="1595"/>
      <c r="O31" s="1595"/>
      <c r="S31" s="2379" t="s">
        <v>528</v>
      </c>
      <c r="T31" s="2379"/>
      <c r="U31" s="1599"/>
      <c r="V31" s="2381" t="str">
        <f>IF(TITLE_NUMBER_PR_CHANGE="",IF(TITLE_NUMBER_PR="","",TITLE_NUMBER_PR),TITLE_NUMBER_PR_CHANGE)</f>
        <v>27-2067</v>
      </c>
      <c r="W31" s="2381"/>
      <c r="X31" s="2381"/>
      <c r="Y31" s="2381"/>
      <c r="Z31" s="2381"/>
      <c r="AA31" s="2381"/>
      <c r="AB31" s="2381"/>
      <c r="AC31" s="548"/>
      <c r="AD31" s="2381" t="str">
        <f>IF(TITLE_NUMBER_PR_CHANGE="",IF(TITLE_NUMBER_PR="","",TITLE_NUMBER_PR),TITLE_NUMBER_PR_CHANGE)</f>
        <v>27-2067</v>
      </c>
      <c r="AE31" s="2381"/>
      <c r="AF31" s="2381"/>
      <c r="AG31" s="2381"/>
      <c r="AH31" s="2381"/>
      <c r="AI31" s="2381"/>
      <c r="AJ31" s="2381"/>
      <c r="AK31" s="548"/>
      <c r="AL31" s="548"/>
      <c r="AM31" s="502"/>
      <c r="AN31" s="590"/>
      <c r="AO31" s="590"/>
      <c r="AP31" s="590"/>
      <c r="AQ31" s="590"/>
      <c r="AR31" s="590"/>
    </row>
    <row s="16563" customFormat="1" customHeight="1" ht="18.75" hidden="1">
      <c r="A32" s="1595"/>
      <c r="B32" s="1595"/>
      <c r="C32" s="1595"/>
      <c r="D32" s="1595"/>
      <c r="E32" s="1595"/>
      <c r="F32" s="1595"/>
      <c r="G32" s="1595"/>
      <c r="H32" s="1595"/>
      <c r="I32" s="1595"/>
      <c r="J32" s="1595"/>
      <c r="K32" s="1595"/>
      <c r="L32" s="1596"/>
      <c r="M32" s="1595"/>
      <c r="N32" s="1595"/>
      <c r="O32" s="1595"/>
      <c r="S32" s="2379" t="s">
        <v>39</v>
      </c>
      <c r="T32" s="2379"/>
      <c r="U32" s="1599"/>
      <c r="V32" s="2381" t="str">
        <f>IF(TITLE_IST_PUB_CHANGE="",IF(TITLE_IST_PUB="","",TITLE_IST_PUB),TITLE_IST_PUB_CHANGE)</f>
        <v/>
      </c>
      <c r="W32" s="2381"/>
      <c r="X32" s="2381"/>
      <c r="Y32" s="2381"/>
      <c r="Z32" s="2381"/>
      <c r="AA32" s="2381"/>
      <c r="AB32" s="2381"/>
      <c r="AC32" s="548"/>
      <c r="AD32" s="2381" t="str">
        <f>IF(TITLE_IST_PUB_CHANGE="",IF(TITLE_IST_PUB="","",TITLE_IST_PUB),TITLE_IST_PUB_CHANGE)</f>
        <v/>
      </c>
      <c r="AE32" s="2381"/>
      <c r="AF32" s="2381"/>
      <c r="AG32" s="2381"/>
      <c r="AH32" s="2381"/>
      <c r="AI32" s="2381"/>
      <c r="AJ32" s="2381"/>
      <c r="AK32" s="548"/>
      <c r="AL32" s="548"/>
      <c r="AM32" s="502"/>
      <c r="AN32" s="590"/>
      <c r="AO32" s="590"/>
      <c r="AP32" s="590"/>
      <c r="AQ32" s="590"/>
      <c r="AR32" s="590"/>
    </row>
    <row customHeight="1" ht="14.25">
      <c r="P33" s="1555"/>
      <c r="Q33" s="598"/>
      <c r="R33" s="598"/>
      <c r="S33" s="1502"/>
      <c r="T33" s="585"/>
      <c r="U33" s="585"/>
      <c r="V33" s="544"/>
      <c r="W33" s="544"/>
      <c r="X33" s="544"/>
      <c r="Y33" s="544"/>
      <c r="Z33" s="544"/>
      <c r="AA33" s="544"/>
      <c r="AB33" s="544"/>
      <c r="AC33" s="544"/>
      <c r="AD33" s="544"/>
      <c r="AE33" s="544"/>
      <c r="AF33" s="544"/>
      <c r="AG33" s="544"/>
      <c r="AH33" s="544"/>
      <c r="AI33" s="544"/>
      <c r="AJ33" s="544"/>
      <c r="AK33" s="544"/>
      <c r="AL33" s="731"/>
    </row>
    <row s="16563" customFormat="1" customHeight="1" ht="18.75">
      <c r="A34" s="1595"/>
      <c r="B34" s="1595"/>
      <c r="C34" s="1595"/>
      <c r="D34" s="1595"/>
      <c r="E34" s="1595"/>
      <c r="F34" s="1595"/>
      <c r="G34" s="1595"/>
      <c r="H34" s="1595"/>
      <c r="I34" s="1595"/>
      <c r="J34" s="1595"/>
      <c r="K34" s="1595"/>
      <c r="L34" s="1596"/>
      <c r="M34" s="1595"/>
      <c r="N34" s="1595"/>
      <c r="O34" s="1595"/>
      <c r="S34" s="2379" t="s">
        <v>529</v>
      </c>
      <c r="T34" s="2379"/>
      <c r="U34" s="1599"/>
      <c r="V34" s="2380" t="str">
        <f>IF(TITLE_DATE_PR_CHANGE="",IF(TITLE_DATE_PR="","",TITLE_DATE_PR),TITLE_DATE_PR_CHANGE)</f>
        <v>45407.47206018519</v>
      </c>
      <c r="W34" s="2380"/>
      <c r="X34" s="2380"/>
      <c r="Y34" s="2380"/>
      <c r="Z34" s="2380"/>
      <c r="AA34" s="2380"/>
      <c r="AB34" s="2380"/>
      <c r="AC34" s="548"/>
      <c r="AD34" s="2380" t="str">
        <f>IF(TITLE_DATE_PR_CHANGE="",IF(TITLE_DATE_PR="","",TITLE_DATE_PR),TITLE_DATE_PR_CHANGE)</f>
        <v>45407.47206018519</v>
      </c>
      <c r="AE34" s="2380"/>
      <c r="AF34" s="2380"/>
      <c r="AG34" s="2380"/>
      <c r="AH34" s="2380"/>
      <c r="AI34" s="2380"/>
      <c r="AJ34" s="2380"/>
      <c r="AK34" s="548"/>
      <c r="AL34" s="548"/>
      <c r="AM34" s="502"/>
      <c r="AN34" s="590"/>
      <c r="AO34" s="590"/>
      <c r="AP34" s="590"/>
      <c r="AQ34" s="590"/>
      <c r="AR34" s="590"/>
    </row>
    <row s="16563" customFormat="1" customHeight="1" ht="18.75">
      <c r="A35" s="1595"/>
      <c r="B35" s="1595"/>
      <c r="C35" s="1595"/>
      <c r="D35" s="1595"/>
      <c r="E35" s="1595"/>
      <c r="F35" s="1595"/>
      <c r="G35" s="1595"/>
      <c r="H35" s="1595"/>
      <c r="I35" s="1595"/>
      <c r="J35" s="1595"/>
      <c r="K35" s="1595"/>
      <c r="L35" s="1596"/>
      <c r="M35" s="1595"/>
      <c r="N35" s="1595"/>
      <c r="O35" s="1595"/>
      <c r="S35" s="2379" t="s">
        <v>530</v>
      </c>
      <c r="T35" s="2379"/>
      <c r="U35" s="1599"/>
      <c r="V35" s="2381" t="str">
        <f>IF(TITLE_NUMBER_PR_CHANGE="",IF(TITLE_NUMBER_PR="","",TITLE_NUMBER_PR),TITLE_NUMBER_PR_CHANGE)</f>
        <v>27-2067</v>
      </c>
      <c r="W35" s="2381"/>
      <c r="X35" s="2381"/>
      <c r="Y35" s="2381"/>
      <c r="Z35" s="2381"/>
      <c r="AA35" s="2381"/>
      <c r="AB35" s="2381"/>
      <c r="AC35" s="548"/>
      <c r="AD35" s="2381" t="str">
        <f>IF(TITLE_NUMBER_PR_CHANGE="",IF(TITLE_NUMBER_PR="","",TITLE_NUMBER_PR),TITLE_NUMBER_PR_CHANGE)</f>
        <v>27-2067</v>
      </c>
      <c r="AE35" s="2381"/>
      <c r="AF35" s="2381"/>
      <c r="AG35" s="2381"/>
      <c r="AH35" s="2381"/>
      <c r="AI35" s="2381"/>
      <c r="AJ35" s="2381"/>
      <c r="AK35" s="548"/>
      <c r="AL35" s="548"/>
      <c r="AM35" s="502"/>
      <c r="AN35" s="590"/>
      <c r="AO35" s="590"/>
      <c r="AP35" s="590"/>
      <c r="AQ35" s="590"/>
      <c r="AR35" s="590"/>
    </row>
    <row s="16563" customFormat="1" customHeight="1" ht="0">
      <c r="A36" s="1595"/>
      <c r="B36" s="1595"/>
      <c r="C36" s="1595"/>
      <c r="D36" s="1595"/>
      <c r="E36" s="1595"/>
      <c r="F36" s="1595"/>
      <c r="G36" s="1595"/>
      <c r="H36" s="1595"/>
      <c r="I36" s="1595"/>
      <c r="J36" s="1595"/>
      <c r="K36" s="1595"/>
      <c r="L36" s="1596"/>
      <c r="M36" s="1595"/>
      <c r="N36" s="1595"/>
      <c r="O36" s="1595"/>
      <c r="S36" s="545"/>
      <c r="T36" s="545"/>
      <c r="U36" s="1445"/>
      <c r="V36" s="548"/>
      <c r="W36" s="548"/>
      <c r="X36" s="548"/>
      <c r="Y36" s="548"/>
      <c r="Z36" s="548"/>
      <c r="AA36" s="548"/>
      <c r="AB36" s="548"/>
      <c r="AC36" s="500" t="s">
        <v>531</v>
      </c>
      <c r="AD36" s="548"/>
      <c r="AE36" s="548"/>
      <c r="AF36" s="548"/>
      <c r="AG36" s="548"/>
      <c r="AH36" s="548"/>
      <c r="AI36" s="548"/>
      <c r="AJ36" s="548"/>
      <c r="AK36" s="500" t="s">
        <v>531</v>
      </c>
      <c r="AN36" s="590"/>
      <c r="AO36" s="590"/>
      <c r="AP36" s="590"/>
      <c r="AQ36" s="590"/>
      <c r="AR36" s="590"/>
    </row>
    <row customHeight="1" ht="14.25">
      <c r="Q37" s="598"/>
      <c r="R37" s="598"/>
      <c r="S37" s="1502"/>
      <c r="T37" s="585"/>
      <c r="U37" s="1470"/>
      <c r="V37" s="2405"/>
      <c r="W37" s="2405"/>
      <c r="X37" s="2405"/>
      <c r="Y37" s="2405"/>
      <c r="Z37" s="2405"/>
      <c r="AA37" s="2405"/>
      <c r="AB37" s="2405"/>
      <c r="AC37" s="2405"/>
      <c r="AD37" s="2405"/>
      <c r="AE37" s="2405"/>
      <c r="AF37" s="2405"/>
      <c r="AG37" s="2405"/>
      <c r="AH37" s="2405"/>
      <c r="AI37" s="2405"/>
      <c r="AJ37" s="2405"/>
      <c r="AK37" s="2405"/>
    </row>
    <row customHeight="1" ht="14.25">
      <c r="Q38" s="598"/>
      <c r="R38" s="598"/>
      <c r="S38" s="2253" t="s">
        <v>406</v>
      </c>
      <c r="T38" s="2253"/>
      <c r="U38" s="2253"/>
      <c r="V38" s="2253"/>
      <c r="W38" s="2253"/>
      <c r="X38" s="2253"/>
      <c r="Y38" s="2253"/>
      <c r="Z38" s="2253"/>
      <c r="AA38" s="2253"/>
      <c r="AB38" s="2253"/>
      <c r="AC38" s="2253"/>
      <c r="AD38" s="2253"/>
      <c r="AE38" s="2253"/>
      <c r="AF38" s="2253"/>
      <c r="AG38" s="2253"/>
      <c r="AH38" s="2253"/>
      <c r="AI38" s="2253"/>
      <c r="AJ38" s="2253"/>
      <c r="AK38" s="2253"/>
      <c r="AL38" s="2253"/>
      <c r="AM38" s="2253" t="s">
        <v>407</v>
      </c>
    </row>
    <row customHeight="1" ht="14.25">
      <c r="Q39" s="598"/>
      <c r="R39" s="598"/>
      <c r="S39" s="2406" t="s">
        <v>84</v>
      </c>
      <c r="T39" s="2343" t="s">
        <v>532</v>
      </c>
      <c r="U39" s="523"/>
      <c r="V39" s="2407" t="s">
        <v>533</v>
      </c>
      <c r="W39" s="2408"/>
      <c r="X39" s="2408"/>
      <c r="Y39" s="2408"/>
      <c r="Z39" s="2408"/>
      <c r="AA39" s="2408"/>
      <c r="AB39" s="2409"/>
      <c r="AC39" s="2410" t="s">
        <v>534</v>
      </c>
      <c r="AD39" s="2407" t="s">
        <v>533</v>
      </c>
      <c r="AE39" s="2408"/>
      <c r="AF39" s="2408"/>
      <c r="AG39" s="2408"/>
      <c r="AH39" s="2408"/>
      <c r="AI39" s="2408"/>
      <c r="AJ39" s="2409"/>
      <c r="AK39" s="2410" t="s">
        <v>535</v>
      </c>
      <c r="AL39" s="2413" t="s">
        <v>536</v>
      </c>
      <c r="AM39" s="2253"/>
    </row>
    <row customHeight="1" ht="33.75">
      <c r="Q40" s="598"/>
      <c r="R40" s="598"/>
      <c r="S40" s="2406"/>
      <c r="T40" s="2343"/>
      <c r="U40" s="1254"/>
      <c r="V40" s="2416" t="s">
        <v>537</v>
      </c>
      <c r="W40" s="2397" t="s">
        <v>538</v>
      </c>
      <c r="X40" s="2399" t="s">
        <v>539</v>
      </c>
      <c r="Y40" s="2401"/>
      <c r="Z40" s="2399" t="s">
        <v>540</v>
      </c>
      <c r="AA40" s="2400"/>
      <c r="AB40" s="2401"/>
      <c r="AC40" s="2411"/>
      <c r="AD40" s="2416" t="s">
        <v>537</v>
      </c>
      <c r="AE40" s="2397" t="s">
        <v>538</v>
      </c>
      <c r="AF40" s="2399" t="s">
        <v>539</v>
      </c>
      <c r="AG40" s="2401"/>
      <c r="AH40" s="2399" t="s">
        <v>540</v>
      </c>
      <c r="AI40" s="2400"/>
      <c r="AJ40" s="2401"/>
      <c r="AK40" s="2411"/>
      <c r="AL40" s="2414"/>
      <c r="AM40" s="2253"/>
    </row>
    <row customHeight="1" ht="33.75">
      <c r="A41" s="1597"/>
      <c r="B41" s="1597" t="s">
        <v>191</v>
      </c>
      <c r="C41" s="1597" t="s">
        <v>192</v>
      </c>
      <c r="D41" s="1597" t="s">
        <v>193</v>
      </c>
      <c r="E41" s="1591" t="s">
        <v>541</v>
      </c>
      <c r="F41" s="1591" t="s">
        <v>542</v>
      </c>
      <c r="G41" s="1591" t="s">
        <v>543</v>
      </c>
      <c r="H41" s="1591" t="s">
        <v>544</v>
      </c>
      <c r="I41" s="1591" t="s">
        <v>545</v>
      </c>
      <c r="J41" s="1591" t="s">
        <v>546</v>
      </c>
      <c r="K41" s="1591" t="s">
        <v>547</v>
      </c>
      <c r="L41" s="1591" t="s">
        <v>522</v>
      </c>
      <c r="Q41" s="598"/>
      <c r="R41" s="598"/>
      <c r="S41" s="2406"/>
      <c r="T41" s="2343"/>
      <c r="U41" s="524"/>
      <c r="V41" s="2417"/>
      <c r="W41" s="2398"/>
      <c r="X41" s="1448" t="s">
        <v>548</v>
      </c>
      <c r="Y41" s="1448" t="s">
        <v>549</v>
      </c>
      <c r="Z41" s="1447" t="s">
        <v>550</v>
      </c>
      <c r="AA41" s="2402" t="s">
        <v>551</v>
      </c>
      <c r="AB41" s="2403"/>
      <c r="AC41" s="2412"/>
      <c r="AD41" s="2417"/>
      <c r="AE41" s="2398"/>
      <c r="AF41" s="1448" t="s">
        <v>548</v>
      </c>
      <c r="AG41" s="1448" t="s">
        <v>549</v>
      </c>
      <c r="AH41" s="1540" t="s">
        <v>550</v>
      </c>
      <c r="AI41" s="2402" t="s">
        <v>551</v>
      </c>
      <c r="AJ41" s="2403"/>
      <c r="AK41" s="2412"/>
      <c r="AL41" s="2415"/>
      <c r="AM41" s="2253"/>
    </row>
    <row s="16382" customFormat="1" customHeight="1" ht="11.25" hidden="1">
      <c r="A42" s="1597"/>
      <c r="B42" s="1597"/>
      <c r="C42" s="1597"/>
      <c r="D42" s="1597"/>
      <c r="E42" s="1597"/>
      <c r="F42" s="1597"/>
      <c r="G42" s="1597"/>
      <c r="H42" s="1597"/>
      <c r="I42" s="1597"/>
      <c r="J42" s="1597"/>
      <c r="K42" s="1597"/>
      <c r="L42" s="1591"/>
      <c r="M42" s="1589"/>
      <c r="N42" s="1589"/>
      <c r="O42" s="1589"/>
      <c r="P42" s="1472"/>
      <c r="Q42" s="1473"/>
      <c r="R42" s="1480">
        <v>1</v>
      </c>
      <c r="S42" s="1504" t="s">
        <v>168</v>
      </c>
      <c r="T42" s="1481" t="s">
        <v>99</v>
      </c>
      <c r="U42" s="1471" t="str">
        <f>OFFSET(U42,0,-1)</f>
        <v>2</v>
      </c>
      <c r="V42" s="1482">
        <f>OFFSET(V42,0,-1)+1</f>
        <v>3</v>
      </c>
      <c r="W42" s="1482"/>
      <c r="X42" s="1482">
        <f>OFFSET(X42,0,-1)+1</f>
        <v>1</v>
      </c>
      <c r="Y42" s="1482">
        <f>OFFSET(Y42,0,-1)+1</f>
        <v>2</v>
      </c>
      <c r="Z42" s="1482">
        <f>OFFSET(Z42,0,-1)+1</f>
        <v>3</v>
      </c>
      <c r="AA42" s="2404">
        <f>OFFSET(AA42,0,-1)+1</f>
        <v>4</v>
      </c>
      <c r="AB42" s="2404"/>
      <c r="AC42" s="1482">
        <f>OFFSET(AC42,0,-2)+1</f>
        <v>5</v>
      </c>
      <c r="AD42" s="1539">
        <f>OFFSET(AD42,0,-1)+1</f>
        <v>6</v>
      </c>
      <c r="AE42" s="1539"/>
      <c r="AF42" s="1539">
        <f>OFFSET(AF42,0,-1)+1</f>
        <v>1</v>
      </c>
      <c r="AG42" s="1539">
        <f>OFFSET(AG42,0,-1)+1</f>
        <v>2</v>
      </c>
      <c r="AH42" s="1539">
        <f>OFFSET(AH42,0,-1)+1</f>
        <v>3</v>
      </c>
      <c r="AI42" s="2404">
        <f>OFFSET(AI42,0,-1)+1</f>
        <v>4</v>
      </c>
      <c r="AJ42" s="2404"/>
      <c r="AK42" s="1539">
        <f>OFFSET(AK42,0,-2)+1</f>
        <v>5</v>
      </c>
      <c r="AL42" s="1471">
        <f>OFFSET(AL42,0,-1)</f>
        <v>5</v>
      </c>
      <c r="AM42" s="1482">
        <f>OFFSET(AM42,0,-1)+1</f>
        <v>6</v>
      </c>
      <c r="AN42" s="733"/>
      <c r="AO42" s="733"/>
      <c r="AP42" s="733"/>
      <c r="AQ42" s="733"/>
      <c r="AR42" s="733"/>
    </row>
    <row customHeight="1" ht="23.25">
      <c r="A43" s="1590" t="s">
        <v>206</v>
      </c>
      <c r="B43" s="1590"/>
      <c r="C43" s="1590"/>
      <c r="D43" s="1590"/>
      <c r="E43" s="2388">
        <v>1</v>
      </c>
      <c r="F43" s="1590"/>
      <c r="G43" s="1590"/>
      <c r="H43" s="1590"/>
      <c r="I43" s="1590"/>
      <c r="J43" s="1590"/>
      <c r="K43" s="1590"/>
      <c r="L43" s="1591"/>
      <c r="M43" s="1592"/>
      <c r="N43" s="1592"/>
      <c r="O43" s="1592"/>
      <c r="P43" s="583"/>
      <c r="Q43" s="582"/>
      <c r="R43" s="577"/>
      <c r="S43" s="1450">
        <f>INDEX(PT_DIFFERENTIATION_NUM_NTAR,MATCH(A43,PT_DIFFERENTIATION_NTAR_ID,0))</f>
        <v>0</v>
      </c>
      <c r="T43" s="520" t="s">
        <v>179</v>
      </c>
      <c r="U43" s="522"/>
      <c r="V43" s="2382"/>
      <c r="W43" s="2383"/>
      <c r="X43" s="2383"/>
      <c r="Y43" s="2383"/>
      <c r="Z43" s="2383"/>
      <c r="AA43" s="2383"/>
      <c r="AB43" s="2383"/>
      <c r="AC43" s="2384"/>
      <c r="AD43" s="2382" t="str">
        <f>INDEX(PT_DIFFERENTIATION_NTAR,MATCH(A43,PT_DIFFERENTIATION_NTAR_ID,0))</f>
        <v/>
      </c>
      <c r="AE43" s="2383"/>
      <c r="AF43" s="2383"/>
      <c r="AG43" s="2383"/>
      <c r="AH43" s="2383"/>
      <c r="AI43" s="2383"/>
      <c r="AJ43" s="2383"/>
      <c r="AK43" s="2383"/>
      <c r="AL43" s="2384"/>
      <c r="AM43" s="14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2"/>
      <c r="AP43" s="722" t="str">
        <f>IF(T43="","",T43)</f>
        <v>Наименование тарифа</v>
      </c>
      <c r="AQ43" s="722"/>
      <c r="AR43" s="722"/>
    </row>
    <row customHeight="1" ht="23.25">
      <c r="A44" s="1590" t="s">
        <v>206</v>
      </c>
      <c r="B44" s="1590" t="s">
        <v>207</v>
      </c>
      <c r="C44" s="1590"/>
      <c r="D44" s="1590"/>
      <c r="E44" s="2389"/>
      <c r="F44" s="2388">
        <v>1</v>
      </c>
      <c r="G44" s="1590"/>
      <c r="H44" s="1590"/>
      <c r="I44" s="1590"/>
      <c r="J44" s="1590"/>
      <c r="K44" s="1590"/>
      <c r="L44" s="1591"/>
      <c r="M44" s="1592"/>
      <c r="N44" s="1592"/>
      <c r="O44" s="1592"/>
      <c r="P44" s="744"/>
      <c r="Q44" s="574"/>
      <c r="R44" s="575"/>
      <c r="S44" s="1450" t="str">
        <f>INDEX(PT_DIFFERENTIATION_NUM_TER,MATCH(B44,PT_DIFFERENTIATION_TER_ID,0))</f>
        <v>.</v>
      </c>
      <c r="T44" s="530" t="s">
        <v>503</v>
      </c>
      <c r="U44" s="522"/>
      <c r="V44" s="2382"/>
      <c r="W44" s="2383"/>
      <c r="X44" s="2383"/>
      <c r="Y44" s="2383"/>
      <c r="Z44" s="2383"/>
      <c r="AA44" s="2383"/>
      <c r="AB44" s="2383"/>
      <c r="AC44" s="2384"/>
      <c r="AD44" s="2382" t="str">
        <f>INDEX(PT_DIFFERENTIATION_TER,MATCH(B44,PT_DIFFERENTIATION_TER_ID,0))</f>
        <v/>
      </c>
      <c r="AE44" s="2383"/>
      <c r="AF44" s="2383"/>
      <c r="AG44" s="2383"/>
      <c r="AH44" s="2383"/>
      <c r="AI44" s="2383"/>
      <c r="AJ44" s="2383"/>
      <c r="AK44" s="2383"/>
      <c r="AL44" s="2384"/>
      <c r="AM44" s="1484" t="s">
        <v>504</v>
      </c>
      <c r="AO44" s="722"/>
      <c r="AP44" s="722" t="str">
        <f>IF(T44="","",T44)</f>
        <v>Территория действия тарифа</v>
      </c>
      <c r="AQ44" s="722"/>
      <c r="AR44" s="722"/>
    </row>
    <row customHeight="1" ht="23.25">
      <c r="A45" s="1590" t="s">
        <v>206</v>
      </c>
      <c r="B45" s="1590" t="s">
        <v>207</v>
      </c>
      <c r="C45" s="1590" t="s">
        <v>208</v>
      </c>
      <c r="D45" s="1590"/>
      <c r="E45" s="2389"/>
      <c r="F45" s="2389"/>
      <c r="G45" s="2388">
        <v>1</v>
      </c>
      <c r="H45" s="1590"/>
      <c r="I45" s="1590"/>
      <c r="J45" s="1590"/>
      <c r="K45" s="1590"/>
      <c r="L45" s="1591"/>
      <c r="M45" s="1592"/>
      <c r="N45" s="1592"/>
      <c r="O45" s="1592"/>
      <c r="P45" s="576"/>
      <c r="Q45" s="574"/>
      <c r="R45" s="575"/>
      <c r="S45" s="1450" t="str">
        <f>INDEX(PT_DIFFERENTIATION_NUM_CS,MATCH(C45,PT_DIFFERENTIATION_CS_ID,0))</f>
        <v>..</v>
      </c>
      <c r="T45" s="531" t="s">
        <v>505</v>
      </c>
      <c r="U45" s="522"/>
      <c r="V45" s="2382"/>
      <c r="W45" s="2383"/>
      <c r="X45" s="2383"/>
      <c r="Y45" s="2383"/>
      <c r="Z45" s="2383"/>
      <c r="AA45" s="2383"/>
      <c r="AB45" s="2383"/>
      <c r="AC45" s="2384"/>
      <c r="AD45" s="2382" t="str">
        <f>INDEX(PT_DIFFERENTIATION_CS,MATCH(C45,PT_DIFFERENTIATION_CS_ID,0))</f>
        <v/>
      </c>
      <c r="AE45" s="2383"/>
      <c r="AF45" s="2383"/>
      <c r="AG45" s="2383"/>
      <c r="AH45" s="2383"/>
      <c r="AI45" s="2383"/>
      <c r="AJ45" s="2383"/>
      <c r="AK45" s="2383"/>
      <c r="AL45" s="2384"/>
      <c r="AM45" s="1484" t="s">
        <v>506</v>
      </c>
      <c r="AO45" s="722"/>
      <c r="AP45" s="722" t="str">
        <f>IF(T45="","",T45)</f>
        <v>Наименование системы теплоснабжения </v>
      </c>
      <c r="AQ45" s="722"/>
      <c r="AR45" s="722"/>
    </row>
    <row customHeight="1" ht="23.25">
      <c r="A46" s="1590" t="s">
        <v>206</v>
      </c>
      <c r="B46" s="1590" t="s">
        <v>207</v>
      </c>
      <c r="C46" s="1590" t="s">
        <v>208</v>
      </c>
      <c r="D46" s="1590" t="s">
        <v>209</v>
      </c>
      <c r="E46" s="2389"/>
      <c r="F46" s="2389"/>
      <c r="G46" s="2389"/>
      <c r="H46" s="2388">
        <v>1</v>
      </c>
      <c r="I46" s="1590"/>
      <c r="J46" s="1590"/>
      <c r="K46" s="1590"/>
      <c r="L46" s="1591"/>
      <c r="M46" s="1592"/>
      <c r="N46" s="1592"/>
      <c r="O46" s="1592"/>
      <c r="P46" s="576"/>
      <c r="Q46" s="574"/>
      <c r="R46" s="575"/>
      <c r="S46" s="1450" t="str">
        <f>INDEX(PT_DIFFERENTIATION_NUM_IST_TE,MATCH(D46,PT_DIFFERENTIATION_IST_TE_ID,0))</f>
        <v>...</v>
      </c>
      <c r="T46" s="532" t="s">
        <v>507</v>
      </c>
      <c r="U46" s="522"/>
      <c r="V46" s="2382"/>
      <c r="W46" s="2383"/>
      <c r="X46" s="2383"/>
      <c r="Y46" s="2383"/>
      <c r="Z46" s="2383"/>
      <c r="AA46" s="2383"/>
      <c r="AB46" s="2383"/>
      <c r="AC46" s="2384"/>
      <c r="AD46" s="2382" t="str">
        <f>INDEX(PT_DIFFERENTIATION_IST_TE,MATCH(D46,PT_DIFFERENTIATION_IST_TE_ID,0))</f>
        <v/>
      </c>
      <c r="AE46" s="2383"/>
      <c r="AF46" s="2383"/>
      <c r="AG46" s="2383"/>
      <c r="AH46" s="2383"/>
      <c r="AI46" s="2383"/>
      <c r="AJ46" s="2383"/>
      <c r="AK46" s="2383"/>
      <c r="AL46" s="2384"/>
      <c r="AM46" s="1484" t="s">
        <v>508</v>
      </c>
      <c r="AO46" s="722"/>
      <c r="AP46" s="722" t="str">
        <f>IF(T46="","",T46)</f>
        <v>Источник тепловой энергии  </v>
      </c>
      <c r="AQ46" s="722"/>
      <c r="AR46" s="722"/>
    </row>
    <row customHeight="1" ht="47.25">
      <c r="A47" s="1590" t="s">
        <v>206</v>
      </c>
      <c r="B47" s="1590" t="s">
        <v>207</v>
      </c>
      <c r="C47" s="1590" t="s">
        <v>208</v>
      </c>
      <c r="D47" s="1590" t="s">
        <v>209</v>
      </c>
      <c r="E47" s="2389"/>
      <c r="F47" s="2389"/>
      <c r="G47" s="2389"/>
      <c r="H47" s="2389"/>
      <c r="I47" s="2390" t="str">
        <f>S46&amp;".1"</f>
        <v>....1</v>
      </c>
      <c r="J47" s="1590"/>
      <c r="K47" s="1590"/>
      <c r="L47" s="1591" t="s">
        <v>509</v>
      </c>
      <c r="P47" s="2392">
        <v>1</v>
      </c>
      <c r="Q47" s="1446"/>
      <c r="R47" s="578"/>
      <c r="S47" s="1450" t="str">
        <f>$I47</f>
        <v>....1</v>
      </c>
      <c r="T47" s="507" t="s">
        <v>510</v>
      </c>
      <c r="U47" s="522"/>
      <c r="V47" s="2376"/>
      <c r="W47" s="2377"/>
      <c r="X47" s="2377"/>
      <c r="Y47" s="2377"/>
      <c r="Z47" s="2377"/>
      <c r="AA47" s="2377"/>
      <c r="AB47" s="2377"/>
      <c r="AC47" s="2378"/>
      <c r="AD47" s="2376"/>
      <c r="AE47" s="2377"/>
      <c r="AF47" s="2377"/>
      <c r="AG47" s="2377"/>
      <c r="AH47" s="2377"/>
      <c r="AI47" s="2377"/>
      <c r="AJ47" s="2377"/>
      <c r="AK47" s="2377"/>
      <c r="AL47" s="2378"/>
      <c r="AM47" s="1484" t="s">
        <v>511</v>
      </c>
      <c r="AO47" s="722"/>
      <c r="AP47" s="722" t="str">
        <f>IF(T47="","",T47)</f>
        <v>Схема подключения теплопотребляющей установки к коллектору источника тепловой энергии</v>
      </c>
      <c r="AQ47" s="722"/>
      <c r="AR47" s="722"/>
    </row>
    <row customHeight="1" ht="23.25">
      <c r="A48" s="1590" t="s">
        <v>206</v>
      </c>
      <c r="B48" s="1590" t="s">
        <v>207</v>
      </c>
      <c r="C48" s="1590" t="s">
        <v>208</v>
      </c>
      <c r="D48" s="1590" t="s">
        <v>209</v>
      </c>
      <c r="E48" s="2389"/>
      <c r="F48" s="2389"/>
      <c r="G48" s="2389"/>
      <c r="H48" s="2389"/>
      <c r="I48" s="2391"/>
      <c r="J48" s="2390" t="str">
        <f>I47&amp;".1"</f>
        <v>....1.1</v>
      </c>
      <c r="K48" s="1590"/>
      <c r="L48" s="1591" t="s">
        <v>512</v>
      </c>
      <c r="P48" s="2392"/>
      <c r="Q48" s="2392">
        <v>1</v>
      </c>
      <c r="R48" s="579"/>
      <c r="S48" s="1450" t="str">
        <f>$J48</f>
        <v>....1.1</v>
      </c>
      <c r="T48" s="508" t="s">
        <v>513</v>
      </c>
      <c r="U48" s="522"/>
      <c r="V48" s="2376"/>
      <c r="W48" s="2377"/>
      <c r="X48" s="2377"/>
      <c r="Y48" s="2377"/>
      <c r="Z48" s="2377"/>
      <c r="AA48" s="2377"/>
      <c r="AB48" s="2377"/>
      <c r="AC48" s="2378"/>
      <c r="AD48" s="2376"/>
      <c r="AE48" s="2377"/>
      <c r="AF48" s="2377"/>
      <c r="AG48" s="2377"/>
      <c r="AH48" s="2377"/>
      <c r="AI48" s="2377"/>
      <c r="AJ48" s="2377"/>
      <c r="AK48" s="2377"/>
      <c r="AL48" s="2378"/>
      <c r="AM48" s="1484" t="s">
        <v>514</v>
      </c>
      <c r="AO48" s="722"/>
      <c r="AP48" s="722" t="str">
        <f>IF(T48="","",T48)</f>
        <v>Группа потребителей</v>
      </c>
      <c r="AQ48" s="722"/>
      <c r="AR48" s="722"/>
    </row>
    <row customHeight="1" ht="23.25">
      <c r="A49" s="1590" t="s">
        <v>206</v>
      </c>
      <c r="B49" s="1590" t="s">
        <v>207</v>
      </c>
      <c r="C49" s="1590" t="s">
        <v>208</v>
      </c>
      <c r="D49" s="1590" t="s">
        <v>209</v>
      </c>
      <c r="E49" s="2389"/>
      <c r="F49" s="2389"/>
      <c r="G49" s="2389"/>
      <c r="H49" s="2389"/>
      <c r="I49" s="2391"/>
      <c r="J49" s="2391"/>
      <c r="K49" s="2390" t="str">
        <f>J48&amp;".1"</f>
        <v>....1.1.1</v>
      </c>
      <c r="L49" s="1591" t="s">
        <v>515</v>
      </c>
      <c r="P49" s="2392"/>
      <c r="Q49" s="2392"/>
      <c r="R49" s="579">
        <v>1</v>
      </c>
      <c r="S49" s="1450" t="str">
        <f>$K49</f>
        <v>....1.1.1</v>
      </c>
      <c r="T49" s="1574"/>
      <c r="U49" s="522"/>
      <c r="V49" s="973"/>
      <c r="W49" s="547"/>
      <c r="X49" s="973"/>
      <c r="Y49" s="1483"/>
      <c r="Z49" s="2393"/>
      <c r="AA49" s="2263" t="s">
        <v>63</v>
      </c>
      <c r="AB49" s="2393"/>
      <c r="AC49" s="2263" t="s">
        <v>63</v>
      </c>
      <c r="AD49" s="973"/>
      <c r="AE49" s="547"/>
      <c r="AF49" s="973"/>
      <c r="AG49" s="1483"/>
      <c r="AH49" s="2393"/>
      <c r="AI49" s="2263" t="s">
        <v>63</v>
      </c>
      <c r="AJ49" s="2395"/>
      <c r="AK49" s="2263" t="s">
        <v>63</v>
      </c>
      <c r="AL49" s="1575"/>
      <c r="AM49" s="2418" t="s">
        <v>516</v>
      </c>
      <c r="AN49" s="733">
        <f>STRCHECKDATE(V50:AL50)</f>
      </c>
      <c r="AO49" s="722"/>
      <c r="AP49" s="722" t="str">
        <f>IF(T49="","",T49)</f>
        <v/>
      </c>
      <c r="AQ49" s="722"/>
      <c r="AR49" s="722"/>
    </row>
    <row customHeight="1" ht="0.75">
      <c r="A50" s="1590" t="s">
        <v>206</v>
      </c>
      <c r="B50" s="1590" t="s">
        <v>207</v>
      </c>
      <c r="C50" s="1590" t="s">
        <v>208</v>
      </c>
      <c r="D50" s="1590" t="s">
        <v>209</v>
      </c>
      <c r="E50" s="2389"/>
      <c r="F50" s="2389"/>
      <c r="G50" s="2389"/>
      <c r="H50" s="2389"/>
      <c r="I50" s="2391"/>
      <c r="J50" s="2391"/>
      <c r="K50" s="2390"/>
      <c r="L50" s="1591"/>
      <c r="P50" s="2392"/>
      <c r="Q50" s="2392"/>
      <c r="R50" s="579"/>
      <c r="S50" s="1449"/>
      <c r="T50" s="522"/>
      <c r="U50" s="522"/>
      <c r="V50" s="547"/>
      <c r="W50" s="547"/>
      <c r="X50" s="547"/>
      <c r="Y50" s="550" t="str">
        <f>Z49&amp;"-"&amp;AB49</f>
        <v>-</v>
      </c>
      <c r="Z50" s="2394"/>
      <c r="AA50" s="2263"/>
      <c r="AB50" s="2394"/>
      <c r="AC50" s="2263"/>
      <c r="AD50" s="547"/>
      <c r="AE50" s="547"/>
      <c r="AF50" s="547"/>
      <c r="AG50" s="550" t="str">
        <f>AH49&amp;"-"&amp;AJ49</f>
        <v>-</v>
      </c>
      <c r="AH50" s="2394"/>
      <c r="AI50" s="2263"/>
      <c r="AJ50" s="2396"/>
      <c r="AK50" s="2263"/>
      <c r="AL50" s="1576"/>
      <c r="AM50" s="2419"/>
      <c r="AO50" s="722"/>
      <c r="AP50" s="722" t="str">
        <f>IF(T50="","",T50)</f>
        <v/>
      </c>
      <c r="AQ50" s="722"/>
      <c r="AR50" s="722"/>
    </row>
    <row customHeight="1" ht="11.25">
      <c r="A51" s="1590" t="s">
        <v>206</v>
      </c>
      <c r="B51" s="1590" t="s">
        <v>207</v>
      </c>
      <c r="C51" s="1590" t="s">
        <v>208</v>
      </c>
      <c r="D51" s="1590" t="s">
        <v>209</v>
      </c>
      <c r="E51" s="2389"/>
      <c r="F51" s="2389"/>
      <c r="G51" s="2389"/>
      <c r="H51" s="2389"/>
      <c r="I51" s="2391"/>
      <c r="J51" s="2390"/>
      <c r="K51" s="1590"/>
      <c r="L51" s="1591"/>
      <c r="P51" s="2392"/>
      <c r="Q51" s="2392"/>
      <c r="R51" s="578"/>
      <c r="S51" s="1505"/>
      <c r="T51" s="510" t="s">
        <v>517</v>
      </c>
      <c r="U51" s="589"/>
      <c r="V51" s="589"/>
      <c r="W51" s="589"/>
      <c r="X51" s="589"/>
      <c r="Y51" s="589"/>
      <c r="Z51" s="589"/>
      <c r="AA51" s="589"/>
      <c r="AB51" s="589"/>
      <c r="AC51" s="589"/>
      <c r="AD51" s="589"/>
      <c r="AE51" s="589"/>
      <c r="AF51" s="589"/>
      <c r="AG51" s="589"/>
      <c r="AH51" s="589"/>
      <c r="AI51" s="589"/>
      <c r="AJ51" s="589"/>
      <c r="AK51" s="589"/>
      <c r="AL51" s="546"/>
      <c r="AM51" s="2420"/>
      <c r="AO51" s="722"/>
      <c r="AP51" s="722" t="str">
        <f>IF(T51="","",T51)</f>
        <v>Добавить вид теплоносителя (параметры теплоносителя)</v>
      </c>
      <c r="AQ51" s="722"/>
      <c r="AR51" s="722"/>
    </row>
    <row customHeight="1" ht="11.25">
      <c r="A52" s="1590" t="s">
        <v>206</v>
      </c>
      <c r="B52" s="1590" t="s">
        <v>207</v>
      </c>
      <c r="C52" s="1590" t="s">
        <v>208</v>
      </c>
      <c r="D52" s="1590" t="s">
        <v>209</v>
      </c>
      <c r="E52" s="2389"/>
      <c r="F52" s="2389"/>
      <c r="G52" s="2389"/>
      <c r="H52" s="2389"/>
      <c r="I52" s="2390"/>
      <c r="J52" s="1590"/>
      <c r="K52" s="1590"/>
      <c r="L52" s="1591"/>
      <c r="P52" s="2392"/>
      <c r="Q52" s="1446"/>
      <c r="R52" s="578"/>
      <c r="S52" s="1505"/>
      <c r="T52" s="509" t="s">
        <v>518</v>
      </c>
      <c r="U52" s="589"/>
      <c r="V52" s="589"/>
      <c r="W52" s="589"/>
      <c r="X52" s="589"/>
      <c r="Y52" s="589"/>
      <c r="Z52" s="589"/>
      <c r="AA52" s="589"/>
      <c r="AB52" s="589"/>
      <c r="AC52" s="588"/>
      <c r="AD52" s="589"/>
      <c r="AE52" s="589"/>
      <c r="AF52" s="589"/>
      <c r="AG52" s="589"/>
      <c r="AH52" s="589"/>
      <c r="AI52" s="589"/>
      <c r="AJ52" s="589"/>
      <c r="AK52" s="588"/>
      <c r="AL52" s="589"/>
      <c r="AM52" s="525"/>
      <c r="AO52" s="722"/>
      <c r="AP52" s="722" t="str">
        <f>IF(T52="","",T52)</f>
        <v>Добавить группу потребителей</v>
      </c>
      <c r="AQ52" s="722"/>
      <c r="AR52" s="722"/>
    </row>
    <row customHeight="1" ht="14.25">
      <c r="A53" s="1590" t="s">
        <v>206</v>
      </c>
      <c r="B53" s="1590" t="s">
        <v>207</v>
      </c>
      <c r="C53" s="1590" t="s">
        <v>208</v>
      </c>
      <c r="D53" s="1590" t="s">
        <v>209</v>
      </c>
      <c r="E53" s="2389"/>
      <c r="F53" s="2389"/>
      <c r="G53" s="2389"/>
      <c r="H53" s="2388"/>
      <c r="I53" s="1590"/>
      <c r="J53" s="1590"/>
      <c r="K53" s="1590"/>
      <c r="L53" s="1591"/>
      <c r="M53" s="1592"/>
      <c r="N53" s="1592"/>
      <c r="O53" s="759"/>
      <c r="P53" s="582"/>
      <c r="Q53" s="597"/>
      <c r="R53" s="577"/>
      <c r="S53" s="1505"/>
      <c r="T53" s="587" t="s">
        <v>519</v>
      </c>
      <c r="U53" s="589"/>
      <c r="V53" s="589"/>
      <c r="W53" s="589"/>
      <c r="X53" s="589"/>
      <c r="Y53" s="589"/>
      <c r="Z53" s="589"/>
      <c r="AA53" s="589"/>
      <c r="AB53" s="589"/>
      <c r="AC53" s="588"/>
      <c r="AD53" s="589"/>
      <c r="AE53" s="589"/>
      <c r="AF53" s="589"/>
      <c r="AG53" s="589"/>
      <c r="AH53" s="589"/>
      <c r="AI53" s="589"/>
      <c r="AJ53" s="589"/>
      <c r="AK53" s="588"/>
      <c r="AL53" s="589"/>
      <c r="AM53" s="525"/>
      <c r="AO53" s="722"/>
      <c r="AP53" s="722" t="str">
        <f>IF(T53="","",T53)</f>
        <v>Добавить схему подключения</v>
      </c>
      <c r="AQ53" s="722"/>
      <c r="AR53" s="722"/>
    </row>
    <row s="16531" customFormat="1" customHeight="1" ht="0.75">
      <c r="A54" s="1570" t="s">
        <v>206</v>
      </c>
      <c r="B54" s="1570" t="s">
        <v>207</v>
      </c>
      <c r="C54" s="1570" t="s">
        <v>208</v>
      </c>
      <c r="D54" s="1541"/>
      <c r="E54" s="2389"/>
      <c r="F54" s="2389"/>
      <c r="G54" s="2388"/>
      <c r="H54" s="1541"/>
      <c r="I54" s="1541"/>
      <c r="J54" s="1541"/>
      <c r="K54" s="1541"/>
      <c r="L54" s="1566"/>
      <c r="M54" s="1542"/>
      <c r="N54" s="1542"/>
      <c r="P54" s="1543"/>
      <c r="Q54" s="1544"/>
      <c r="R54" s="1543"/>
      <c r="S54" s="1549"/>
      <c r="T54" s="1552" t="s">
        <v>520</v>
      </c>
      <c r="U54" s="1551"/>
      <c r="V54" s="1551"/>
      <c r="W54" s="1551"/>
      <c r="X54" s="1551"/>
      <c r="Y54" s="1551"/>
      <c r="Z54" s="1551"/>
      <c r="AA54" s="1551"/>
      <c r="AB54" s="1551"/>
      <c r="AC54" s="1551"/>
      <c r="AD54" s="1551"/>
      <c r="AE54" s="1551"/>
      <c r="AF54" s="1551"/>
      <c r="AG54" s="1551"/>
      <c r="AH54" s="1551"/>
      <c r="AI54" s="1551"/>
      <c r="AJ54" s="1551"/>
      <c r="AK54" s="1551"/>
      <c r="AL54" s="1551"/>
      <c r="AM54" s="1551"/>
      <c r="AO54" s="1011"/>
      <c r="AP54" s="1011" t="str">
        <f>IF(T54="","",T54)</f>
        <v>Добавить источник для дифференциации</v>
      </c>
      <c r="AQ54" s="1011"/>
      <c r="AR54" s="1011"/>
    </row>
    <row s="16531" customFormat="1" customHeight="1" ht="0.75">
      <c r="A55" s="1570" t="s">
        <v>206</v>
      </c>
      <c r="B55" s="1570" t="s">
        <v>207</v>
      </c>
      <c r="C55" s="1541"/>
      <c r="D55" s="1541"/>
      <c r="E55" s="2389"/>
      <c r="F55" s="2388"/>
      <c r="G55" s="1541"/>
      <c r="H55" s="1541"/>
      <c r="I55" s="1541"/>
      <c r="J55" s="1541"/>
      <c r="K55" s="1541"/>
      <c r="L55" s="1566"/>
      <c r="M55" s="1548"/>
      <c r="N55" s="1548"/>
      <c r="P55" s="1543"/>
      <c r="Q55" s="1544"/>
      <c r="R55" s="1543"/>
      <c r="S55" s="1549"/>
      <c r="T55" s="1552" t="s">
        <v>305</v>
      </c>
      <c r="U55" s="1551"/>
      <c r="V55" s="1551"/>
      <c r="W55" s="1551"/>
      <c r="X55" s="1551"/>
      <c r="Y55" s="1551"/>
      <c r="Z55" s="1551"/>
      <c r="AA55" s="1551"/>
      <c r="AB55" s="1551"/>
      <c r="AC55" s="1551"/>
      <c r="AD55" s="1551"/>
      <c r="AE55" s="1551"/>
      <c r="AF55" s="1551"/>
      <c r="AG55" s="1551"/>
      <c r="AH55" s="1551"/>
      <c r="AI55" s="1551"/>
      <c r="AJ55" s="1551"/>
      <c r="AK55" s="1551"/>
      <c r="AL55" s="1551"/>
      <c r="AM55" s="1551"/>
      <c r="AO55" s="1011"/>
      <c r="AP55" s="1011" t="str">
        <f>IF(T55="","",T55)</f>
        <v>Добавить централизованную систему для дифференциации</v>
      </c>
      <c r="AQ55" s="1011"/>
      <c r="AR55" s="1011"/>
    </row>
    <row s="16622" customFormat="1" customHeight="1" ht="0.75">
      <c r="A56" s="1570" t="s">
        <v>206</v>
      </c>
      <c r="B56" s="1570"/>
      <c r="C56" s="1570"/>
      <c r="D56" s="1570"/>
      <c r="E56" s="2388"/>
      <c r="F56" s="1570"/>
      <c r="G56" s="1570"/>
      <c r="H56" s="1570"/>
      <c r="I56" s="1570"/>
      <c r="J56" s="1570"/>
      <c r="K56" s="1570"/>
      <c r="L56" s="1573"/>
      <c r="M56" s="1548"/>
      <c r="N56" s="1548"/>
      <c r="O56" s="740"/>
      <c r="P56" s="602"/>
      <c r="Q56" s="1571"/>
      <c r="R56" s="602"/>
      <c r="S56" s="1549"/>
      <c r="T56" s="1552" t="s">
        <v>358</v>
      </c>
      <c r="U56" s="1551"/>
      <c r="V56" s="1551"/>
      <c r="W56" s="1551"/>
      <c r="X56" s="1551"/>
      <c r="Y56" s="1551"/>
      <c r="Z56" s="1551"/>
      <c r="AA56" s="1551"/>
      <c r="AB56" s="1551"/>
      <c r="AC56" s="1551"/>
      <c r="AD56" s="1551"/>
      <c r="AE56" s="1551"/>
      <c r="AF56" s="1551"/>
      <c r="AG56" s="1551"/>
      <c r="AH56" s="1551"/>
      <c r="AI56" s="1551"/>
      <c r="AJ56" s="1551"/>
      <c r="AK56" s="1551"/>
      <c r="AL56" s="1551"/>
      <c r="AM56" s="1551"/>
      <c r="AO56" s="722"/>
      <c r="AP56" s="722" t="str">
        <f>IF(T56="","",T56)</f>
        <v>Добавить территорию для дифференциации</v>
      </c>
      <c r="AQ56" s="722"/>
      <c r="AR56" s="722"/>
    </row>
    <row s="16531" customFormat="1" customHeight="1" ht="0.75">
      <c r="A57" s="1541"/>
      <c r="B57" s="1541"/>
      <c r="C57" s="1541"/>
      <c r="D57" s="1541"/>
      <c r="E57" s="1570"/>
      <c r="F57" s="1541"/>
      <c r="G57" s="1541"/>
      <c r="H57" s="1541"/>
      <c r="I57" s="1541"/>
      <c r="J57" s="1541"/>
      <c r="K57" s="1541"/>
      <c r="L57" s="1566"/>
      <c r="M57" s="1548"/>
      <c r="N57" s="1548"/>
      <c r="P57" s="1543"/>
      <c r="Q57" s="1544"/>
      <c r="R57" s="1543"/>
      <c r="S57" s="1549"/>
      <c r="T57" s="1552" t="s">
        <v>359</v>
      </c>
      <c r="U57" s="1551"/>
      <c r="V57" s="1551"/>
      <c r="W57" s="1551"/>
      <c r="X57" s="1551"/>
      <c r="Y57" s="1551"/>
      <c r="Z57" s="1551"/>
      <c r="AA57" s="1551"/>
      <c r="AB57" s="1551"/>
      <c r="AC57" s="1551"/>
      <c r="AD57" s="1551"/>
      <c r="AE57" s="1551"/>
      <c r="AF57" s="1551"/>
      <c r="AG57" s="1551"/>
      <c r="AH57" s="1551"/>
      <c r="AI57" s="1551"/>
      <c r="AJ57" s="1551"/>
      <c r="AK57" s="1551"/>
      <c r="AL57" s="1551"/>
      <c r="AM57" s="1551"/>
      <c r="AO57" s="1011"/>
      <c r="AP57" s="1011" t="str">
        <f>IF(T57="","",T57)</f>
        <v>Добавить наименование тарифа</v>
      </c>
      <c r="AQ57" s="1011"/>
      <c r="AR57" s="1011"/>
    </row>
    <row customHeight="1" ht="11.25">
      <c r="M58" s="1384"/>
      <c r="N58" s="1384"/>
      <c r="O58" s="759"/>
      <c r="P58" s="1379"/>
      <c r="Q58" s="1379"/>
      <c r="R58" s="1379"/>
      <c r="S58" s="1379"/>
      <c r="AN58" s="1379"/>
      <c r="AO58" s="1379"/>
      <c r="AP58" s="1379"/>
      <c r="AQ58" s="1379"/>
      <c r="AR58" s="1379"/>
    </row>
    <row customHeight="1" ht="27">
      <c r="O59" s="759"/>
      <c r="S59" s="1479"/>
      <c r="T59" s="2387"/>
      <c r="U59" s="2387"/>
      <c r="V59" s="2387"/>
      <c r="W59" s="2387"/>
      <c r="X59" s="2387"/>
      <c r="Y59" s="2387"/>
      <c r="Z59" s="2387"/>
      <c r="AA59" s="2387"/>
      <c r="AB59" s="2387"/>
      <c r="AC59" s="2387"/>
      <c r="AD59" s="2387"/>
      <c r="AE59" s="2387"/>
      <c r="AF59" s="2387"/>
      <c r="AG59" s="2387"/>
      <c r="AH59" s="2387"/>
      <c r="AI59" s="2387"/>
      <c r="AJ59" s="2387"/>
      <c r="AK59" s="2387"/>
      <c r="AL59" s="2387"/>
      <c r="AM59" s="2387"/>
    </row>
    <row customHeight="1" ht="64.5">
      <c r="O60" s="759"/>
      <c r="P60" s="1530"/>
      <c r="T60" s="2387"/>
      <c r="U60" s="2387"/>
      <c r="V60" s="2387"/>
      <c r="W60" s="2387"/>
      <c r="X60" s="2387"/>
      <c r="Y60" s="2387"/>
      <c r="Z60" s="2387"/>
      <c r="AA60" s="2387"/>
      <c r="AB60" s="2387"/>
      <c r="AC60" s="2387"/>
      <c r="AD60" s="2387"/>
      <c r="AE60" s="2387"/>
      <c r="AF60" s="2387"/>
      <c r="AG60" s="2387"/>
      <c r="AH60" s="2387"/>
      <c r="AI60" s="2387"/>
      <c r="AJ60" s="2387"/>
      <c r="AK60" s="2387"/>
      <c r="AL60" s="2387"/>
      <c r="AM60" s="2387"/>
    </row>
    <row customHeight="1" ht="14.25">
      <c r="O61" s="759"/>
    </row>
    <row customHeight="1" ht="18">
      <c r="O62" s="759"/>
      <c r="P62" s="1555"/>
      <c r="S62" s="1479"/>
      <c r="T62" s="2387"/>
      <c r="U62" s="2387"/>
      <c r="V62" s="2387"/>
      <c r="W62" s="2387"/>
      <c r="X62" s="2387"/>
      <c r="Y62" s="2387"/>
      <c r="Z62" s="2387"/>
      <c r="AA62" s="2387"/>
      <c r="AB62" s="2387"/>
      <c r="AC62" s="2387"/>
      <c r="AD62" s="2387"/>
      <c r="AE62" s="2387"/>
      <c r="AF62" s="2387"/>
      <c r="AG62" s="2387"/>
      <c r="AH62" s="2387"/>
      <c r="AI62" s="2387"/>
      <c r="AJ62" s="2387"/>
      <c r="AK62" s="2387"/>
      <c r="AL62" s="2387"/>
      <c r="AM62" s="2387"/>
    </row>
    <row customHeight="1" ht="18">
      <c r="O63" s="759"/>
      <c r="P63" s="1555"/>
      <c r="T63" s="2387"/>
      <c r="U63" s="2387"/>
      <c r="V63" s="2387"/>
      <c r="W63" s="2387"/>
      <c r="X63" s="2387"/>
      <c r="Y63" s="2387"/>
      <c r="Z63" s="2387"/>
      <c r="AA63" s="2387"/>
      <c r="AB63" s="2387"/>
      <c r="AC63" s="2387"/>
      <c r="AD63" s="2387"/>
      <c r="AE63" s="2387"/>
      <c r="AF63" s="2387"/>
      <c r="AG63" s="2387"/>
      <c r="AH63" s="2387"/>
      <c r="AI63" s="2387"/>
      <c r="AJ63" s="2387"/>
      <c r="AK63" s="2387"/>
      <c r="AL63" s="2387"/>
      <c r="AM63" s="2387"/>
    </row>
    <row customHeight="1" ht="27.75">
      <c r="O64" s="759"/>
      <c r="P64" s="1555"/>
      <c r="S64" s="1479"/>
      <c r="T64" s="2387"/>
      <c r="U64" s="2387"/>
      <c r="V64" s="2387"/>
      <c r="W64" s="2387"/>
      <c r="X64" s="2387"/>
      <c r="Y64" s="2387"/>
      <c r="Z64" s="2387"/>
      <c r="AA64" s="2387"/>
      <c r="AB64" s="2387"/>
      <c r="AC64" s="2387"/>
      <c r="AD64" s="2387"/>
      <c r="AE64" s="2387"/>
      <c r="AF64" s="2387"/>
      <c r="AG64" s="2387"/>
      <c r="AH64" s="2387"/>
      <c r="AI64" s="2387"/>
      <c r="AJ64" s="2387"/>
      <c r="AK64" s="2387"/>
      <c r="AL64" s="2387"/>
      <c r="AM64" s="2387"/>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CB939B-8F43-B1AF-F7DA-B51959D81445}"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6550" width="10.57421875" hidden="1"/>
    <col min="2" max="2" style="16550" width="11.00390625" hidden="1" customWidth="1"/>
    <col min="3" max="3" style="16550" width="10.57421875" hidden="1"/>
    <col min="4" max="4" style="16550" width="11.8515625" hidden="1" customWidth="1"/>
    <col min="5" max="5" style="16550" width="10.00390625" hidden="1" customWidth="1"/>
    <col min="6" max="6" style="16550" width="8.7109375" hidden="1" customWidth="1"/>
    <col min="7" max="7" style="16550" width="7.57421875" hidden="1" customWidth="1"/>
    <col min="8" max="8" style="16550" width="11.421875" hidden="1" customWidth="1"/>
    <col min="9" max="9" style="16550" width="12.00390625" hidden="1" customWidth="1"/>
    <col min="10" max="10" style="16550" width="9.8515625" hidden="1" customWidth="1"/>
    <col min="11" max="11" style="16550" width="11.421875" hidden="1" customWidth="1"/>
    <col min="12" max="12" style="16630" width="19.140625" hidden="1" customWidth="1"/>
    <col min="13" max="14" style="16631" width="12.28125" hidden="1" customWidth="1"/>
    <col min="15" max="15" style="16631" width="23.421875" hidden="1" customWidth="1"/>
    <col min="16" max="16" style="16643" width="3.7109375" customWidth="1"/>
    <col min="17" max="18" style="16633" width="3.7109375" customWidth="1"/>
    <col min="19" max="19" style="16634" width="12.7109375" customWidth="1"/>
    <col min="20" max="20" style="16635" width="32.00390625" customWidth="1"/>
    <col min="21" max="21" style="16635" width="0.140625" customWidth="1"/>
    <col min="22" max="22" style="16635" width="24.7109375" hidden="1" customWidth="1"/>
    <col min="23" max="23" style="16635" width="0.140625" hidden="1" customWidth="1"/>
    <col min="24" max="25" style="16635" width="24.7109375" hidden="1" customWidth="1"/>
    <col min="26" max="26" style="16635" width="11.7109375" hidden="1" customWidth="1"/>
    <col min="27" max="27" style="16635" width="3.7109375" hidden="1" customWidth="1"/>
    <col min="28" max="28" style="16635" width="11.7109375" hidden="1" customWidth="1"/>
    <col min="29" max="29" style="16635" width="8.57421875" hidden="1" customWidth="1"/>
    <col min="30" max="30" style="16635" width="24.7109375" customWidth="1"/>
    <col min="31" max="31" style="16635" width="0.140625" customWidth="1"/>
    <col min="32" max="33" style="16635" width="24.7109375" customWidth="1"/>
    <col min="34" max="34" style="16635" width="11.7109375" customWidth="1"/>
    <col min="35" max="35" style="16635" width="3.7109375" customWidth="1"/>
    <col min="36" max="36" style="16635" width="11.7109375" customWidth="1"/>
    <col min="37" max="37" style="16635" width="8.57421875" hidden="1" customWidth="1"/>
    <col min="38" max="38" style="16635" width="4.7109375" customWidth="1"/>
    <col min="39" max="39" style="16635" width="115.7109375" customWidth="1"/>
    <col min="40" max="41" style="16622" width="10.57421875"/>
    <col min="42" max="42" style="16622" width="11.140625" customWidth="1"/>
    <col min="43" max="44" style="16622" width="10.57421875"/>
  </cols>
  <sheetData>
    <row customHeight="1" ht="14.25" hidden="1">
      <c r="Y1" s="549"/>
      <c r="Z1" s="549"/>
      <c r="AG1" s="549"/>
      <c r="AH1" s="549"/>
    </row>
    <row customHeight="1" ht="21" hidden="1">
      <c r="A2" s="1590"/>
      <c r="B2" s="1590"/>
      <c r="C2" s="1590"/>
      <c r="D2" s="1590"/>
      <c r="E2" s="2388">
        <v>1</v>
      </c>
      <c r="F2" s="1590"/>
      <c r="G2" s="1590"/>
      <c r="H2" s="1590"/>
      <c r="I2" s="1590"/>
      <c r="J2" s="1590"/>
      <c r="K2" s="1590"/>
      <c r="L2" s="1591"/>
      <c r="M2" s="1592"/>
      <c r="N2" s="1592"/>
      <c r="O2" s="1592"/>
      <c r="P2" s="583"/>
      <c r="Q2" s="582"/>
      <c r="R2" s="577"/>
      <c r="S2" s="1563">
        <f>INDEX(PT_DIFFERENTIATION_NUM_NTAR,MATCH(A2,PT_DIFFERENTIATION_NTAR_ID,0))</f>
      </c>
      <c r="T2" s="520" t="s">
        <v>179</v>
      </c>
      <c r="U2" s="522"/>
      <c r="V2" s="2382"/>
      <c r="W2" s="2383"/>
      <c r="X2" s="2383"/>
      <c r="Y2" s="2383"/>
      <c r="Z2" s="2383"/>
      <c r="AA2" s="2383"/>
      <c r="AB2" s="2383"/>
      <c r="AC2" s="2384"/>
      <c r="AD2" s="2382">
        <f>INDEX(PT_DIFFERENTIATION_NTAR,MATCH(A2,PT_DIFFERENTIATION_NTAR_ID,0))</f>
      </c>
      <c r="AE2" s="2383"/>
      <c r="AF2" s="2383"/>
      <c r="AG2" s="2383"/>
      <c r="AH2" s="2383"/>
      <c r="AI2" s="2383"/>
      <c r="AJ2" s="2383"/>
      <c r="AK2" s="2383"/>
      <c r="AL2" s="2384"/>
      <c r="AM2" s="1484" t="s">
        <v>502</v>
      </c>
      <c r="AO2" s="722"/>
      <c r="AP2" s="722" t="str">
        <f>IF(T2="","",T2)</f>
        <v>Наименование тарифа</v>
      </c>
      <c r="AQ2" s="722"/>
      <c r="AR2" s="722"/>
    </row>
    <row customHeight="1" ht="21" hidden="1">
      <c r="A3" s="1590"/>
      <c r="B3" s="1590"/>
      <c r="C3" s="1590"/>
      <c r="D3" s="1590"/>
      <c r="E3" s="2389"/>
      <c r="F3" s="2388">
        <v>1</v>
      </c>
      <c r="G3" s="1590"/>
      <c r="H3" s="1590"/>
      <c r="I3" s="1590"/>
      <c r="J3" s="1590"/>
      <c r="K3" s="1590"/>
      <c r="L3" s="1591"/>
      <c r="M3" s="1592"/>
      <c r="N3" s="1592"/>
      <c r="O3" s="1592"/>
      <c r="P3" s="1559"/>
      <c r="Q3" s="574"/>
      <c r="R3" s="575"/>
      <c r="S3" s="1563">
        <f>INDEX(PT_DIFFERENTIATION_NUM_TER,MATCH(B3,PT_DIFFERENTIATION_TER_ID,0))</f>
      </c>
      <c r="T3" s="530" t="s">
        <v>503</v>
      </c>
      <c r="U3" s="522"/>
      <c r="V3" s="2382"/>
      <c r="W3" s="2383"/>
      <c r="X3" s="2383"/>
      <c r="Y3" s="2383"/>
      <c r="Z3" s="2383"/>
      <c r="AA3" s="2383"/>
      <c r="AB3" s="2383"/>
      <c r="AC3" s="2384"/>
      <c r="AD3" s="2382">
        <f>INDEX(PT_DIFFERENTIATION_TER,MATCH(B3,PT_DIFFERENTIATION_TER_ID,0))</f>
      </c>
      <c r="AE3" s="2383"/>
      <c r="AF3" s="2383"/>
      <c r="AG3" s="2383"/>
      <c r="AH3" s="2383"/>
      <c r="AI3" s="2383"/>
      <c r="AJ3" s="2383"/>
      <c r="AK3" s="2383"/>
      <c r="AL3" s="2384"/>
      <c r="AM3" s="1484" t="s">
        <v>504</v>
      </c>
      <c r="AO3" s="722"/>
      <c r="AP3" s="722" t="str">
        <f>IF(T3="","",T3)</f>
        <v>Территория действия тарифа</v>
      </c>
      <c r="AQ3" s="722"/>
      <c r="AR3" s="722"/>
    </row>
    <row customHeight="1" ht="23.25" hidden="1">
      <c r="A4" s="1590"/>
      <c r="B4" s="1590"/>
      <c r="C4" s="1590"/>
      <c r="D4" s="1590"/>
      <c r="E4" s="2389"/>
      <c r="F4" s="2389"/>
      <c r="G4" s="2388">
        <v>1</v>
      </c>
      <c r="H4" s="1590"/>
      <c r="I4" s="1590"/>
      <c r="J4" s="1590"/>
      <c r="K4" s="1590"/>
      <c r="L4" s="1591"/>
      <c r="M4" s="1592"/>
      <c r="N4" s="1592"/>
      <c r="O4" s="1592"/>
      <c r="P4" s="576"/>
      <c r="Q4" s="574"/>
      <c r="R4" s="575"/>
      <c r="S4" s="1563">
        <f>INDEX(PT_DIFFERENTIATION_NUM_CS,MATCH(C4,PT_DIFFERENTIATION_CS_ID,0))</f>
      </c>
      <c r="T4" s="531" t="s">
        <v>505</v>
      </c>
      <c r="U4" s="522"/>
      <c r="V4" s="2382"/>
      <c r="W4" s="2383"/>
      <c r="X4" s="2383"/>
      <c r="Y4" s="2383"/>
      <c r="Z4" s="2383"/>
      <c r="AA4" s="2383"/>
      <c r="AB4" s="2383"/>
      <c r="AC4" s="2384"/>
      <c r="AD4" s="2382">
        <f>INDEX(PT_DIFFERENTIATION_CS,MATCH(C4,PT_DIFFERENTIATION_CS_ID,0))</f>
      </c>
      <c r="AE4" s="2383"/>
      <c r="AF4" s="2383"/>
      <c r="AG4" s="2383"/>
      <c r="AH4" s="2383"/>
      <c r="AI4" s="2383"/>
      <c r="AJ4" s="2383"/>
      <c r="AK4" s="2383"/>
      <c r="AL4" s="2384"/>
      <c r="AM4" s="1484" t="s">
        <v>506</v>
      </c>
      <c r="AO4" s="722"/>
      <c r="AP4" s="722" t="str">
        <f>IF(T4="","",T4)</f>
        <v>Наименование системы теплоснабжения </v>
      </c>
      <c r="AQ4" s="722"/>
      <c r="AR4" s="722"/>
    </row>
    <row customHeight="1" ht="21" hidden="1">
      <c r="A5" s="1590"/>
      <c r="B5" s="1590"/>
      <c r="C5" s="1590"/>
      <c r="D5" s="1590"/>
      <c r="E5" s="2389"/>
      <c r="F5" s="2389"/>
      <c r="G5" s="2389"/>
      <c r="H5" s="2388">
        <v>1</v>
      </c>
      <c r="I5" s="1590"/>
      <c r="J5" s="1590"/>
      <c r="K5" s="1590"/>
      <c r="L5" s="1591"/>
      <c r="M5" s="1592"/>
      <c r="N5" s="1592"/>
      <c r="O5" s="1592"/>
      <c r="P5" s="576"/>
      <c r="Q5" s="574"/>
      <c r="R5" s="575"/>
      <c r="S5" s="1563">
        <f>INDEX(PT_DIFFERENTIATION_NUM_IST_TE,MATCH(D5,PT_DIFFERENTIATION_IST_TE_ID,0))</f>
      </c>
      <c r="T5" s="532" t="s">
        <v>507</v>
      </c>
      <c r="U5" s="522"/>
      <c r="V5" s="2382"/>
      <c r="W5" s="2383"/>
      <c r="X5" s="2383"/>
      <c r="Y5" s="2383"/>
      <c r="Z5" s="2383"/>
      <c r="AA5" s="2383"/>
      <c r="AB5" s="2383"/>
      <c r="AC5" s="2384"/>
      <c r="AD5" s="2382">
        <f>INDEX(PT_DIFFERENTIATION_IST_TE,MATCH(D5,PT_DIFFERENTIATION_IST_TE_ID,0))</f>
      </c>
      <c r="AE5" s="2383"/>
      <c r="AF5" s="2383"/>
      <c r="AG5" s="2383"/>
      <c r="AH5" s="2383"/>
      <c r="AI5" s="2383"/>
      <c r="AJ5" s="2383"/>
      <c r="AK5" s="2383"/>
      <c r="AL5" s="2384"/>
      <c r="AM5" s="1484" t="s">
        <v>508</v>
      </c>
      <c r="AO5" s="722"/>
      <c r="AP5" s="722" t="str">
        <f>IF(T5="","",T5)</f>
        <v>Источник тепловой энергии  </v>
      </c>
      <c r="AQ5" s="722"/>
      <c r="AR5" s="722"/>
    </row>
    <row customHeight="1" ht="47.25" hidden="1">
      <c r="A6" s="1590"/>
      <c r="B6" s="1590"/>
      <c r="C6" s="1590"/>
      <c r="D6" s="1590"/>
      <c r="E6" s="2389"/>
      <c r="F6" s="2389"/>
      <c r="G6" s="2389"/>
      <c r="H6" s="2389"/>
      <c r="I6" s="2390">
        <f>S5&amp;".1"</f>
      </c>
      <c r="J6" s="1590"/>
      <c r="K6" s="1590"/>
      <c r="L6" s="1591" t="s">
        <v>509</v>
      </c>
      <c r="M6" s="759"/>
      <c r="P6" s="2392">
        <v>1</v>
      </c>
      <c r="Q6" s="1558"/>
      <c r="R6" s="578"/>
      <c r="S6" s="1563">
        <f>$I6</f>
      </c>
      <c r="T6" s="507" t="s">
        <v>510</v>
      </c>
      <c r="U6" s="522"/>
      <c r="V6" s="2376"/>
      <c r="W6" s="2377"/>
      <c r="X6" s="2377"/>
      <c r="Y6" s="2377"/>
      <c r="Z6" s="2377"/>
      <c r="AA6" s="2377"/>
      <c r="AB6" s="2377"/>
      <c r="AC6" s="2378"/>
      <c r="AD6" s="2376"/>
      <c r="AE6" s="2377"/>
      <c r="AF6" s="2377"/>
      <c r="AG6" s="2377"/>
      <c r="AH6" s="2377"/>
      <c r="AI6" s="2377"/>
      <c r="AJ6" s="2377"/>
      <c r="AK6" s="2377"/>
      <c r="AL6" s="2378"/>
      <c r="AM6" s="1484" t="s">
        <v>511</v>
      </c>
      <c r="AO6" s="722"/>
      <c r="AP6" s="722" t="str">
        <f>IF(T6="","",T6)</f>
        <v>Схема подключения теплопотребляющей установки к коллектору источника тепловой энергии</v>
      </c>
      <c r="AQ6" s="722"/>
      <c r="AR6" s="722"/>
    </row>
    <row customHeight="1" ht="21" hidden="1">
      <c r="A7" s="1590"/>
      <c r="B7" s="1590"/>
      <c r="C7" s="1590"/>
      <c r="D7" s="1590"/>
      <c r="E7" s="2389"/>
      <c r="F7" s="2389"/>
      <c r="G7" s="2389"/>
      <c r="H7" s="2389"/>
      <c r="I7" s="2391"/>
      <c r="J7" s="2390">
        <f>I6&amp;".1"</f>
      </c>
      <c r="K7" s="1590"/>
      <c r="L7" s="1591" t="s">
        <v>512</v>
      </c>
      <c r="M7" s="759"/>
      <c r="N7" s="1593"/>
      <c r="P7" s="2392"/>
      <c r="Q7" s="2392">
        <v>1</v>
      </c>
      <c r="R7" s="579"/>
      <c r="S7" s="1563">
        <f>$J7</f>
      </c>
      <c r="T7" s="508" t="s">
        <v>513</v>
      </c>
      <c r="U7" s="522"/>
      <c r="V7" s="2376"/>
      <c r="W7" s="2377"/>
      <c r="X7" s="2377"/>
      <c r="Y7" s="2377"/>
      <c r="Z7" s="2377"/>
      <c r="AA7" s="2377"/>
      <c r="AB7" s="2377"/>
      <c r="AC7" s="2378"/>
      <c r="AD7" s="2376"/>
      <c r="AE7" s="2377"/>
      <c r="AF7" s="2377"/>
      <c r="AG7" s="2377"/>
      <c r="AH7" s="2377"/>
      <c r="AI7" s="2377"/>
      <c r="AJ7" s="2377"/>
      <c r="AK7" s="2377"/>
      <c r="AL7" s="2378"/>
      <c r="AM7" s="1484" t="s">
        <v>514</v>
      </c>
      <c r="AO7" s="722"/>
      <c r="AP7" s="722" t="str">
        <f>IF(T7="","",T7)</f>
        <v>Группа потребителей</v>
      </c>
      <c r="AQ7" s="722"/>
      <c r="AR7" s="722"/>
    </row>
    <row customHeight="1" ht="21" hidden="1">
      <c r="A8" s="1590"/>
      <c r="B8" s="1590"/>
      <c r="C8" s="1590"/>
      <c r="D8" s="1590"/>
      <c r="E8" s="2389"/>
      <c r="F8" s="2389"/>
      <c r="G8" s="2389"/>
      <c r="H8" s="2389"/>
      <c r="I8" s="2391"/>
      <c r="J8" s="2391"/>
      <c r="K8" s="2390">
        <f>J7&amp;".1"</f>
      </c>
      <c r="L8" s="1591" t="s">
        <v>515</v>
      </c>
      <c r="M8" s="759"/>
      <c r="N8" s="1593"/>
      <c r="O8" s="1593"/>
      <c r="P8" s="2392"/>
      <c r="Q8" s="2392"/>
      <c r="R8" s="579">
        <v>1</v>
      </c>
      <c r="S8" s="1563">
        <f>$K8</f>
      </c>
      <c r="T8" s="1574"/>
      <c r="U8" s="522"/>
      <c r="V8" s="973"/>
      <c r="W8" s="547"/>
      <c r="X8" s="973"/>
      <c r="Y8" s="1483"/>
      <c r="Z8" s="2393"/>
      <c r="AA8" s="2263" t="s">
        <v>63</v>
      </c>
      <c r="AB8" s="2393"/>
      <c r="AC8" s="2263" t="s">
        <v>63</v>
      </c>
      <c r="AD8" s="973"/>
      <c r="AE8" s="547"/>
      <c r="AF8" s="973"/>
      <c r="AG8" s="1483"/>
      <c r="AH8" s="2393"/>
      <c r="AI8" s="2263" t="s">
        <v>63</v>
      </c>
      <c r="AJ8" s="2393"/>
      <c r="AK8" s="2263" t="s">
        <v>63</v>
      </c>
      <c r="AL8" s="547"/>
      <c r="AM8" s="2418" t="s">
        <v>516</v>
      </c>
      <c r="AN8" s="733">
        <f>STRCHECKDATE(V9:AL9)</f>
      </c>
      <c r="AO8" s="722"/>
      <c r="AP8" s="722" t="str">
        <f>IF(T8="","",T8)</f>
        <v/>
      </c>
      <c r="AQ8" s="722"/>
      <c r="AR8" s="722"/>
    </row>
    <row customHeight="1" ht="0.75" hidden="1">
      <c r="A9" s="1590"/>
      <c r="B9" s="1590"/>
      <c r="C9" s="1590"/>
      <c r="D9" s="1590"/>
      <c r="E9" s="2389"/>
      <c r="F9" s="2389"/>
      <c r="G9" s="2389"/>
      <c r="H9" s="2389"/>
      <c r="I9" s="2391"/>
      <c r="J9" s="2391"/>
      <c r="K9" s="2390"/>
      <c r="L9" s="1591"/>
      <c r="M9" s="759"/>
      <c r="N9" s="1593"/>
      <c r="O9" s="1593"/>
      <c r="P9" s="2392"/>
      <c r="Q9" s="2392"/>
      <c r="R9" s="579"/>
      <c r="S9" s="1569"/>
      <c r="T9" s="522"/>
      <c r="U9" s="522"/>
      <c r="V9" s="547"/>
      <c r="W9" s="547"/>
      <c r="X9" s="547"/>
      <c r="Y9" s="550" t="str">
        <f>Z8&amp;"-"&amp;AB8</f>
        <v>-</v>
      </c>
      <c r="Z9" s="2394"/>
      <c r="AA9" s="2263"/>
      <c r="AB9" s="2394"/>
      <c r="AC9" s="2263"/>
      <c r="AD9" s="547"/>
      <c r="AE9" s="547"/>
      <c r="AF9" s="547"/>
      <c r="AG9" s="550" t="str">
        <f>AH8&amp;"-"&amp;AJ8</f>
        <v>-</v>
      </c>
      <c r="AH9" s="2394"/>
      <c r="AI9" s="2263"/>
      <c r="AJ9" s="2394"/>
      <c r="AK9" s="2263"/>
      <c r="AL9" s="547"/>
      <c r="AM9" s="2419"/>
      <c r="AO9" s="722"/>
      <c r="AP9" s="722" t="str">
        <f>IF(T9="","",T9)</f>
        <v/>
      </c>
      <c r="AQ9" s="722"/>
      <c r="AR9" s="722"/>
    </row>
    <row customHeight="1" ht="15" hidden="1">
      <c r="A10" s="1590"/>
      <c r="B10" s="1590"/>
      <c r="C10" s="1590"/>
      <c r="D10" s="1590"/>
      <c r="E10" s="2389"/>
      <c r="F10" s="2389"/>
      <c r="G10" s="2389"/>
      <c r="H10" s="2389"/>
      <c r="I10" s="2391"/>
      <c r="J10" s="2390"/>
      <c r="K10" s="1590"/>
      <c r="L10" s="1591"/>
      <c r="M10" s="759"/>
      <c r="N10" s="1593"/>
      <c r="P10" s="2392"/>
      <c r="Q10" s="2392"/>
      <c r="R10" s="578"/>
      <c r="S10" s="1505"/>
      <c r="T10" s="510" t="s">
        <v>517</v>
      </c>
      <c r="U10" s="589"/>
      <c r="V10" s="589"/>
      <c r="W10" s="589"/>
      <c r="X10" s="589"/>
      <c r="Y10" s="589"/>
      <c r="Z10" s="589"/>
      <c r="AA10" s="589"/>
      <c r="AB10" s="589"/>
      <c r="AC10" s="589"/>
      <c r="AD10" s="589"/>
      <c r="AE10" s="589"/>
      <c r="AF10" s="589"/>
      <c r="AG10" s="589"/>
      <c r="AH10" s="589"/>
      <c r="AI10" s="589"/>
      <c r="AJ10" s="589"/>
      <c r="AK10" s="589"/>
      <c r="AL10" s="546"/>
      <c r="AM10" s="2420"/>
      <c r="AO10" s="722"/>
      <c r="AP10" s="722" t="str">
        <f>IF(T10="","",T10)</f>
        <v>Добавить вид теплоносителя (параметры теплоносителя)</v>
      </c>
      <c r="AQ10" s="722"/>
      <c r="AR10" s="722"/>
    </row>
    <row customHeight="1" ht="15" hidden="1">
      <c r="A11" s="1590"/>
      <c r="B11" s="1590"/>
      <c r="C11" s="1590"/>
      <c r="D11" s="1590"/>
      <c r="E11" s="2389"/>
      <c r="F11" s="2389"/>
      <c r="G11" s="2389"/>
      <c r="H11" s="2389"/>
      <c r="I11" s="2390"/>
      <c r="J11" s="1590"/>
      <c r="K11" s="1590"/>
      <c r="L11" s="1591"/>
      <c r="M11" s="759"/>
      <c r="P11" s="2392"/>
      <c r="Q11" s="1558"/>
      <c r="R11" s="578"/>
      <c r="S11" s="1505"/>
      <c r="T11" s="509" t="s">
        <v>518</v>
      </c>
      <c r="U11" s="589"/>
      <c r="V11" s="589"/>
      <c r="W11" s="589"/>
      <c r="X11" s="589"/>
      <c r="Y11" s="589"/>
      <c r="Z11" s="589"/>
      <c r="AA11" s="589"/>
      <c r="AB11" s="589"/>
      <c r="AC11" s="588"/>
      <c r="AD11" s="589"/>
      <c r="AE11" s="589"/>
      <c r="AF11" s="589"/>
      <c r="AG11" s="589"/>
      <c r="AH11" s="589"/>
      <c r="AI11" s="589"/>
      <c r="AJ11" s="589"/>
      <c r="AK11" s="588"/>
      <c r="AL11" s="589"/>
      <c r="AM11" s="525"/>
      <c r="AO11" s="722"/>
      <c r="AP11" s="722" t="str">
        <f>IF(T11="","",T11)</f>
        <v>Добавить группу потребителей</v>
      </c>
      <c r="AQ11" s="722"/>
      <c r="AR11" s="722"/>
    </row>
    <row customHeight="1" ht="14.25" hidden="1">
      <c r="A12" s="1590"/>
      <c r="B12" s="1590"/>
      <c r="C12" s="1590"/>
      <c r="D12" s="1590"/>
      <c r="E12" s="2389"/>
      <c r="F12" s="2389"/>
      <c r="G12" s="2389"/>
      <c r="H12" s="2388"/>
      <c r="I12" s="1590"/>
      <c r="J12" s="1590"/>
      <c r="K12" s="1590"/>
      <c r="L12" s="1591"/>
      <c r="M12" s="1592"/>
      <c r="N12" s="1592"/>
      <c r="O12" s="759"/>
      <c r="P12" s="582"/>
      <c r="Q12" s="597"/>
      <c r="R12" s="577"/>
      <c r="S12" s="1505"/>
      <c r="T12" s="587" t="s">
        <v>519</v>
      </c>
      <c r="U12" s="589"/>
      <c r="V12" s="589"/>
      <c r="W12" s="589"/>
      <c r="X12" s="589"/>
      <c r="Y12" s="589"/>
      <c r="Z12" s="589"/>
      <c r="AA12" s="589"/>
      <c r="AB12" s="589"/>
      <c r="AC12" s="588"/>
      <c r="AD12" s="589"/>
      <c r="AE12" s="589"/>
      <c r="AF12" s="589"/>
      <c r="AG12" s="589"/>
      <c r="AH12" s="589"/>
      <c r="AI12" s="589"/>
      <c r="AJ12" s="589"/>
      <c r="AK12" s="588"/>
      <c r="AL12" s="589"/>
      <c r="AM12" s="525"/>
      <c r="AO12" s="722"/>
      <c r="AP12" s="722" t="str">
        <f>IF(T12="","",T12)</f>
        <v>Добавить схему подключения</v>
      </c>
      <c r="AQ12" s="722"/>
      <c r="AR12" s="722"/>
    </row>
    <row s="16531" customFormat="1" customHeight="1" ht="0.75" hidden="1">
      <c r="A13" s="1541"/>
      <c r="B13" s="1541"/>
      <c r="C13" s="1541"/>
      <c r="D13" s="1541"/>
      <c r="E13" s="2389"/>
      <c r="F13" s="2389"/>
      <c r="G13" s="2388"/>
      <c r="H13" s="1541"/>
      <c r="I13" s="1541"/>
      <c r="J13" s="1541"/>
      <c r="K13" s="1541"/>
      <c r="L13" s="1566"/>
      <c r="M13" s="1542"/>
      <c r="N13" s="1542"/>
      <c r="P13" s="1543"/>
      <c r="Q13" s="1544"/>
      <c r="R13" s="1543"/>
      <c r="S13" s="1545"/>
      <c r="T13" s="1546" t="s">
        <v>520</v>
      </c>
      <c r="U13" s="1547"/>
      <c r="V13" s="1547"/>
      <c r="W13" s="1547"/>
      <c r="X13" s="1547"/>
      <c r="Y13" s="1547"/>
      <c r="Z13" s="1547"/>
      <c r="AA13" s="1547"/>
      <c r="AB13" s="1547"/>
      <c r="AC13" s="1547"/>
      <c r="AD13" s="1547"/>
      <c r="AE13" s="1547"/>
      <c r="AF13" s="1547"/>
      <c r="AG13" s="1547"/>
      <c r="AH13" s="1547"/>
      <c r="AI13" s="1547"/>
      <c r="AJ13" s="1547"/>
      <c r="AK13" s="1547"/>
      <c r="AL13" s="1547"/>
      <c r="AM13" s="1547"/>
      <c r="AO13" s="1011"/>
      <c r="AP13" s="1011" t="str">
        <f>IF(T13="","",T13)</f>
        <v>Добавить источник для дифференциации</v>
      </c>
      <c r="AQ13" s="1011"/>
      <c r="AR13" s="1011"/>
    </row>
    <row s="16531" customFormat="1" customHeight="1" ht="0.75" hidden="1">
      <c r="A14" s="1541"/>
      <c r="B14" s="1541"/>
      <c r="C14" s="1541"/>
      <c r="D14" s="1541"/>
      <c r="E14" s="2389"/>
      <c r="F14" s="2388"/>
      <c r="G14" s="1541"/>
      <c r="H14" s="1541"/>
      <c r="I14" s="1541"/>
      <c r="J14" s="1541"/>
      <c r="K14" s="1541"/>
      <c r="L14" s="1566"/>
      <c r="M14" s="1548"/>
      <c r="N14" s="1548"/>
      <c r="P14" s="1543"/>
      <c r="Q14" s="1544"/>
      <c r="R14" s="1543"/>
      <c r="S14" s="1549"/>
      <c r="T14" s="1550" t="s">
        <v>305</v>
      </c>
      <c r="U14" s="1551"/>
      <c r="V14" s="1551"/>
      <c r="W14" s="1551"/>
      <c r="X14" s="1551"/>
      <c r="Y14" s="1551"/>
      <c r="Z14" s="1551"/>
      <c r="AA14" s="1551"/>
      <c r="AB14" s="1551"/>
      <c r="AC14" s="1551"/>
      <c r="AD14" s="1551"/>
      <c r="AE14" s="1551"/>
      <c r="AF14" s="1551"/>
      <c r="AG14" s="1551"/>
      <c r="AH14" s="1551"/>
      <c r="AI14" s="1551"/>
      <c r="AJ14" s="1551"/>
      <c r="AK14" s="1551"/>
      <c r="AL14" s="1551"/>
      <c r="AM14" s="1551"/>
      <c r="AO14" s="1011"/>
      <c r="AP14" s="1011" t="str">
        <f>IF(T14="","",T14)</f>
        <v>Добавить централизованную систему для дифференциации</v>
      </c>
      <c r="AQ14" s="1011"/>
      <c r="AR14" s="1011"/>
    </row>
    <row s="16531" customFormat="1" customHeight="1" ht="0.75" hidden="1">
      <c r="A15" s="1541"/>
      <c r="B15" s="1541"/>
      <c r="C15" s="1541"/>
      <c r="D15" s="1541"/>
      <c r="E15" s="2388"/>
      <c r="F15" s="1541"/>
      <c r="G15" s="1541"/>
      <c r="H15" s="1541"/>
      <c r="I15" s="1541"/>
      <c r="J15" s="1541"/>
      <c r="K15" s="1541"/>
      <c r="L15" s="1566"/>
      <c r="M15" s="1548"/>
      <c r="N15" s="1548"/>
      <c r="P15" s="1543"/>
      <c r="Q15" s="1544"/>
      <c r="R15" s="1543"/>
      <c r="S15" s="1549"/>
      <c r="T15" s="1552" t="s">
        <v>358</v>
      </c>
      <c r="U15" s="1551"/>
      <c r="V15" s="1551"/>
      <c r="W15" s="1551"/>
      <c r="X15" s="1551"/>
      <c r="Y15" s="1551"/>
      <c r="Z15" s="1551"/>
      <c r="AA15" s="1551"/>
      <c r="AB15" s="1551"/>
      <c r="AC15" s="1551"/>
      <c r="AD15" s="1551"/>
      <c r="AE15" s="1551"/>
      <c r="AF15" s="1551"/>
      <c r="AG15" s="1551"/>
      <c r="AH15" s="1551"/>
      <c r="AI15" s="1551"/>
      <c r="AJ15" s="1551"/>
      <c r="AK15" s="1551"/>
      <c r="AL15" s="1551"/>
      <c r="AM15" s="1551"/>
      <c r="AO15" s="1011"/>
      <c r="AP15" s="1011" t="str">
        <f>IF(T15="","",T15)</f>
        <v>Добавить территорию для дифференциации</v>
      </c>
      <c r="AQ15" s="1011"/>
      <c r="AR15" s="1011"/>
    </row>
    <row customHeight="1" ht="14.25" hidden="1">
      <c r="AC16" s="549"/>
      <c r="AK16" s="549"/>
    </row>
    <row customHeight="1" ht="14.25" hidden="1">
      <c r="AD17" s="1587"/>
      <c r="AE17" s="1587"/>
      <c r="AF17" s="1587"/>
      <c r="AG17" s="1588"/>
      <c r="AH17" s="2386"/>
      <c r="AI17" s="2385" t="s">
        <v>63</v>
      </c>
      <c r="AJ17" s="2386"/>
      <c r="AK17" s="2385" t="s">
        <v>63</v>
      </c>
    </row>
    <row customHeight="1" ht="14.25" hidden="1">
      <c r="AD18" s="1587"/>
      <c r="AE18" s="1587"/>
      <c r="AF18" s="1587"/>
      <c r="AG18" s="550" t="str">
        <f>AH17&amp;"-"&amp;AJ17</f>
        <v>-</v>
      </c>
      <c r="AH18" s="2385"/>
      <c r="AI18" s="2385"/>
      <c r="AJ18" s="2385"/>
      <c r="AK18" s="2385"/>
    </row>
    <row customHeight="1" ht="14.25" hidden="1">
      <c r="AK19" s="549"/>
    </row>
    <row s="16550" customFormat="1" customHeight="1" ht="22.5" hidden="1">
      <c r="L20" s="1556"/>
      <c r="M20" s="1589"/>
      <c r="N20" s="1589"/>
      <c r="O20" s="1594" t="s">
        <v>521</v>
      </c>
      <c r="P20" s="1589"/>
      <c r="Q20" s="1598"/>
      <c r="R20" s="1598"/>
      <c r="S20" s="951"/>
      <c r="Z20" s="1594"/>
      <c r="AB20" s="1594"/>
      <c r="AC20" s="1593"/>
      <c r="AH20" s="1594"/>
      <c r="AJ20" s="1594"/>
      <c r="AK20" s="1593"/>
      <c r="AN20" s="733"/>
      <c r="AO20" s="733"/>
      <c r="AP20" s="733"/>
      <c r="AQ20" s="733"/>
      <c r="AR20" s="733"/>
    </row>
    <row s="16550" customFormat="1" customHeight="1" ht="14.25" hidden="1">
      <c r="L21" s="1556"/>
      <c r="M21" s="1589"/>
      <c r="N21" s="1589"/>
      <c r="O21" s="1589"/>
      <c r="P21" s="1589"/>
      <c r="Q21" s="1598"/>
      <c r="R21" s="1598"/>
      <c r="S21" s="951"/>
      <c r="AC21" s="1593"/>
      <c r="AK21" s="1593"/>
      <c r="AN21" s="733"/>
      <c r="AO21" s="733"/>
      <c r="AP21" s="733"/>
      <c r="AQ21" s="733"/>
      <c r="AR21" s="733"/>
    </row>
    <row s="16550" customFormat="1" customHeight="1" ht="14.25" hidden="1">
      <c r="L22" s="1556"/>
      <c r="M22" s="1589"/>
      <c r="N22" s="1589"/>
      <c r="O22" s="1591" t="s">
        <v>522</v>
      </c>
      <c r="P22" s="1589"/>
      <c r="Q22" s="1598"/>
      <c r="R22" s="1598"/>
      <c r="S22" s="951"/>
      <c r="T22" s="1384" t="s">
        <v>523</v>
      </c>
      <c r="AA22" s="408" t="s">
        <v>524</v>
      </c>
      <c r="AC22" s="408" t="s">
        <v>525</v>
      </c>
      <c r="AD22" s="1384" t="s">
        <v>523</v>
      </c>
      <c r="AI22" s="408" t="s">
        <v>526</v>
      </c>
      <c r="AK22" s="408" t="s">
        <v>525</v>
      </c>
      <c r="AN22" s="733"/>
      <c r="AO22" s="733"/>
      <c r="AP22" s="733"/>
      <c r="AQ22" s="733"/>
      <c r="AR22" s="733"/>
    </row>
    <row customHeight="1" ht="14.25" hidden="1">
      <c r="O23" s="1591"/>
    </row>
    <row customHeight="1" ht="14.25" hidden="1">
      <c r="O24" s="1591"/>
    </row>
    <row customHeight="1" ht="14.25">
      <c r="Q25" s="598"/>
      <c r="R25" s="598"/>
      <c r="S25" s="1502"/>
      <c r="T25" s="585"/>
      <c r="U25" s="585"/>
      <c r="V25" s="731"/>
      <c r="W25" s="731"/>
      <c r="X25" s="731"/>
      <c r="Y25" s="731"/>
      <c r="Z25" s="731"/>
      <c r="AA25" s="731"/>
      <c r="AB25" s="731"/>
      <c r="AC25" s="731"/>
      <c r="AD25" s="731"/>
      <c r="AE25" s="731"/>
      <c r="AF25" s="731"/>
      <c r="AG25" s="731"/>
      <c r="AH25" s="731"/>
      <c r="AI25" s="731"/>
      <c r="AJ25" s="731"/>
      <c r="AK25" s="731"/>
    </row>
    <row customHeight="1" ht="14.25">
      <c r="Q26" s="598"/>
      <c r="R26" s="598"/>
      <c r="S26" s="24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1"/>
      <c r="U26" s="2421"/>
      <c r="V26" s="2421"/>
      <c r="W26" s="2421"/>
      <c r="X26" s="2421"/>
      <c r="Y26" s="2421"/>
      <c r="Z26" s="2421"/>
      <c r="AA26" s="2421"/>
      <c r="AB26" s="2421"/>
      <c r="AC26" s="2421"/>
      <c r="AD26" s="2421"/>
      <c r="AE26" s="2421"/>
      <c r="AF26" s="2421"/>
      <c r="AG26" s="2421"/>
      <c r="AH26" s="2421"/>
      <c r="AI26" s="2421"/>
      <c r="AJ26" s="2421"/>
      <c r="AK26" s="1469"/>
    </row>
    <row customHeight="1" ht="14.25">
      <c r="Q27" s="598"/>
      <c r="R27" s="598"/>
      <c r="S27" s="2422" t="str">
        <f>IF(org=0,"Не определено",org)</f>
        <v>КГУП "Примтеплоэнерго"</v>
      </c>
      <c r="T27" s="2422"/>
      <c r="U27" s="2422"/>
      <c r="V27" s="2422"/>
      <c r="W27" s="2422"/>
      <c r="X27" s="2422"/>
      <c r="Y27" s="2422"/>
      <c r="Z27" s="2422"/>
      <c r="AA27" s="2422"/>
      <c r="AB27" s="2422"/>
      <c r="AC27" s="2422"/>
      <c r="AD27" s="2422"/>
      <c r="AE27" s="2422"/>
      <c r="AF27" s="2422"/>
      <c r="AG27" s="2422"/>
      <c r="AH27" s="2422"/>
      <c r="AI27" s="2422"/>
      <c r="AJ27" s="2422"/>
      <c r="AK27" s="1469"/>
    </row>
    <row customHeight="1" ht="14.25" hidden="1">
      <c r="Q28" s="598"/>
      <c r="R28" s="598"/>
      <c r="S28" s="1502"/>
      <c r="T28" s="585"/>
      <c r="U28" s="585"/>
      <c r="V28" s="544"/>
      <c r="W28" s="544"/>
      <c r="X28" s="544"/>
      <c r="Y28" s="544"/>
      <c r="Z28" s="544"/>
      <c r="AA28" s="544"/>
      <c r="AB28" s="544"/>
      <c r="AC28" s="544"/>
      <c r="AD28" s="544"/>
      <c r="AE28" s="544"/>
      <c r="AF28" s="544"/>
      <c r="AG28" s="544"/>
      <c r="AH28" s="544"/>
      <c r="AI28" s="544"/>
      <c r="AJ28" s="544"/>
      <c r="AK28" s="544"/>
      <c r="AL28" s="731"/>
    </row>
    <row s="16563" customFormat="1" customHeight="1" ht="25.5" hidden="1">
      <c r="A29" s="1595"/>
      <c r="B29" s="1595"/>
      <c r="C29" s="1595"/>
      <c r="D29" s="1595"/>
      <c r="E29" s="1595"/>
      <c r="F29" s="1595"/>
      <c r="G29" s="1595"/>
      <c r="H29" s="1595"/>
      <c r="I29" s="1595"/>
      <c r="J29" s="1595"/>
      <c r="K29" s="1595"/>
      <c r="L29" s="1596"/>
      <c r="M29" s="1595"/>
      <c r="N29" s="1595"/>
      <c r="O29" s="1595"/>
      <c r="S29" s="2379" t="s">
        <v>38</v>
      </c>
      <c r="T29" s="2379"/>
      <c r="U29" s="1599"/>
      <c r="V29" s="2381" t="str">
        <f>IF(TITLE_NAME_OR_PR_CHANGE="",IF(TITLE_NAME_OR_PR="","",TITLE_NAME_OR_PR),TITLE_NAME_OR_PR_CHANGE)</f>
        <v/>
      </c>
      <c r="W29" s="2381"/>
      <c r="X29" s="2381"/>
      <c r="Y29" s="2381"/>
      <c r="Z29" s="2381"/>
      <c r="AA29" s="2381"/>
      <c r="AB29" s="2381"/>
      <c r="AC29" s="548"/>
      <c r="AD29" s="2381" t="str">
        <f>IF(TITLE_NAME_OR_PR_CHANGE="",IF(TITLE_NAME_OR_PR="","",TITLE_NAME_OR_PR),TITLE_NAME_OR_PR_CHANGE)</f>
        <v/>
      </c>
      <c r="AE29" s="2381"/>
      <c r="AF29" s="2381"/>
      <c r="AG29" s="2381"/>
      <c r="AH29" s="2381"/>
      <c r="AI29" s="2381"/>
      <c r="AJ29" s="2381"/>
      <c r="AK29" s="548"/>
      <c r="AL29" s="548"/>
      <c r="AM29" s="502"/>
      <c r="AN29" s="590"/>
      <c r="AO29" s="590"/>
      <c r="AP29" s="590"/>
      <c r="AQ29" s="590"/>
      <c r="AR29" s="590"/>
    </row>
    <row s="16563" customFormat="1" customHeight="1" ht="18.75" hidden="1">
      <c r="A30" s="1595"/>
      <c r="B30" s="1595"/>
      <c r="C30" s="1595"/>
      <c r="D30" s="1595"/>
      <c r="E30" s="1595"/>
      <c r="F30" s="1595"/>
      <c r="G30" s="1595"/>
      <c r="H30" s="1595"/>
      <c r="I30" s="1595"/>
      <c r="J30" s="1595"/>
      <c r="K30" s="1595"/>
      <c r="L30" s="1596"/>
      <c r="M30" s="1595"/>
      <c r="N30" s="1595"/>
      <c r="O30" s="1595"/>
      <c r="S30" s="2379" t="s">
        <v>527</v>
      </c>
      <c r="T30" s="2379"/>
      <c r="U30" s="1599"/>
      <c r="V30" s="2380" t="str">
        <f>IF(TITLE_DATE_PR_CHANGE="",IF(TITLE_DATE_PR="","",TITLE_DATE_PR),TITLE_DATE_PR_CHANGE)</f>
        <v>45407.47206018519</v>
      </c>
      <c r="W30" s="2380"/>
      <c r="X30" s="2380"/>
      <c r="Y30" s="2380"/>
      <c r="Z30" s="2380"/>
      <c r="AA30" s="2380"/>
      <c r="AB30" s="2380"/>
      <c r="AC30" s="548"/>
      <c r="AD30" s="2380" t="str">
        <f>IF(TITLE_DATE_PR_CHANGE="",IF(TITLE_DATE_PR="","",TITLE_DATE_PR),TITLE_DATE_PR_CHANGE)</f>
        <v>45407.47206018519</v>
      </c>
      <c r="AE30" s="2380"/>
      <c r="AF30" s="2380"/>
      <c r="AG30" s="2380"/>
      <c r="AH30" s="2380"/>
      <c r="AI30" s="2380"/>
      <c r="AJ30" s="2380"/>
      <c r="AK30" s="548"/>
      <c r="AL30" s="548"/>
      <c r="AM30" s="502"/>
      <c r="AN30" s="590"/>
      <c r="AO30" s="590"/>
      <c r="AP30" s="590"/>
      <c r="AQ30" s="590"/>
      <c r="AR30" s="590"/>
    </row>
    <row s="16563" customFormat="1" customHeight="1" ht="18.75" hidden="1">
      <c r="A31" s="1595"/>
      <c r="B31" s="1595"/>
      <c r="C31" s="1595"/>
      <c r="D31" s="1595"/>
      <c r="E31" s="1595"/>
      <c r="F31" s="1595"/>
      <c r="G31" s="1595"/>
      <c r="H31" s="1595"/>
      <c r="I31" s="1595"/>
      <c r="J31" s="1595"/>
      <c r="K31" s="1595"/>
      <c r="L31" s="1596"/>
      <c r="M31" s="1595"/>
      <c r="N31" s="1595"/>
      <c r="O31" s="1595"/>
      <c r="S31" s="2379" t="s">
        <v>528</v>
      </c>
      <c r="T31" s="2379"/>
      <c r="U31" s="1599"/>
      <c r="V31" s="2381" t="str">
        <f>IF(TITLE_NUMBER_PR_CHANGE="",IF(TITLE_NUMBER_PR="","",TITLE_NUMBER_PR),TITLE_NUMBER_PR_CHANGE)</f>
        <v>27-2067</v>
      </c>
      <c r="W31" s="2381"/>
      <c r="X31" s="2381"/>
      <c r="Y31" s="2381"/>
      <c r="Z31" s="2381"/>
      <c r="AA31" s="2381"/>
      <c r="AB31" s="2381"/>
      <c r="AC31" s="548"/>
      <c r="AD31" s="2381" t="str">
        <f>IF(TITLE_NUMBER_PR_CHANGE="",IF(TITLE_NUMBER_PR="","",TITLE_NUMBER_PR),TITLE_NUMBER_PR_CHANGE)</f>
        <v>27-2067</v>
      </c>
      <c r="AE31" s="2381"/>
      <c r="AF31" s="2381"/>
      <c r="AG31" s="2381"/>
      <c r="AH31" s="2381"/>
      <c r="AI31" s="2381"/>
      <c r="AJ31" s="2381"/>
      <c r="AK31" s="548"/>
      <c r="AL31" s="548"/>
      <c r="AM31" s="502"/>
      <c r="AN31" s="590"/>
      <c r="AO31" s="590"/>
      <c r="AP31" s="590"/>
      <c r="AQ31" s="590"/>
      <c r="AR31" s="590"/>
    </row>
    <row s="16563" customFormat="1" customHeight="1" ht="18.75" hidden="1">
      <c r="A32" s="1595"/>
      <c r="B32" s="1595"/>
      <c r="C32" s="1595"/>
      <c r="D32" s="1595"/>
      <c r="E32" s="1595"/>
      <c r="F32" s="1595"/>
      <c r="G32" s="1595"/>
      <c r="H32" s="1595"/>
      <c r="I32" s="1595"/>
      <c r="J32" s="1595"/>
      <c r="K32" s="1595"/>
      <c r="L32" s="1596"/>
      <c r="M32" s="1595"/>
      <c r="N32" s="1595"/>
      <c r="O32" s="1595"/>
      <c r="S32" s="2379" t="s">
        <v>39</v>
      </c>
      <c r="T32" s="2379"/>
      <c r="U32" s="1599"/>
      <c r="V32" s="2381" t="str">
        <f>IF(TITLE_IST_PUB_CHANGE="",IF(TITLE_IST_PUB="","",TITLE_IST_PUB),TITLE_IST_PUB_CHANGE)</f>
        <v/>
      </c>
      <c r="W32" s="2381"/>
      <c r="X32" s="2381"/>
      <c r="Y32" s="2381"/>
      <c r="Z32" s="2381"/>
      <c r="AA32" s="2381"/>
      <c r="AB32" s="2381"/>
      <c r="AC32" s="548"/>
      <c r="AD32" s="2381" t="str">
        <f>IF(TITLE_IST_PUB_CHANGE="",IF(TITLE_IST_PUB="","",TITLE_IST_PUB),TITLE_IST_PUB_CHANGE)</f>
        <v/>
      </c>
      <c r="AE32" s="2381"/>
      <c r="AF32" s="2381"/>
      <c r="AG32" s="2381"/>
      <c r="AH32" s="2381"/>
      <c r="AI32" s="2381"/>
      <c r="AJ32" s="2381"/>
      <c r="AK32" s="548"/>
      <c r="AL32" s="548"/>
      <c r="AM32" s="502"/>
      <c r="AN32" s="590"/>
      <c r="AO32" s="590"/>
      <c r="AP32" s="590"/>
      <c r="AQ32" s="590"/>
      <c r="AR32" s="590"/>
    </row>
    <row customHeight="1" ht="14.25">
      <c r="Q33" s="598"/>
      <c r="R33" s="598"/>
      <c r="S33" s="1502"/>
      <c r="T33" s="585"/>
      <c r="U33" s="585"/>
      <c r="V33" s="544"/>
      <c r="W33" s="544"/>
      <c r="X33" s="544"/>
      <c r="Y33" s="544"/>
      <c r="Z33" s="544"/>
      <c r="AA33" s="544"/>
      <c r="AB33" s="544"/>
      <c r="AC33" s="544"/>
      <c r="AD33" s="544"/>
      <c r="AE33" s="544"/>
      <c r="AF33" s="544"/>
      <c r="AG33" s="544"/>
      <c r="AH33" s="544"/>
      <c r="AI33" s="544"/>
      <c r="AJ33" s="544"/>
      <c r="AK33" s="544"/>
      <c r="AL33" s="731"/>
    </row>
    <row s="16563" customFormat="1" customHeight="1" ht="18.75">
      <c r="A34" s="1595"/>
      <c r="B34" s="1595"/>
      <c r="C34" s="1595"/>
      <c r="D34" s="1595"/>
      <c r="E34" s="1595"/>
      <c r="F34" s="1595"/>
      <c r="G34" s="1595"/>
      <c r="H34" s="1595"/>
      <c r="I34" s="1595"/>
      <c r="J34" s="1595"/>
      <c r="K34" s="1595"/>
      <c r="L34" s="1596"/>
      <c r="M34" s="1595"/>
      <c r="N34" s="1595"/>
      <c r="O34" s="1595"/>
      <c r="S34" s="2379" t="s">
        <v>529</v>
      </c>
      <c r="T34" s="2379"/>
      <c r="U34" s="1599"/>
      <c r="V34" s="2380" t="str">
        <f>IF(TITLE_DATE_PR_CHANGE="",IF(TITLE_DATE_PR="","",TITLE_DATE_PR),TITLE_DATE_PR_CHANGE)</f>
        <v>45407.47206018519</v>
      </c>
      <c r="W34" s="2380"/>
      <c r="X34" s="2380"/>
      <c r="Y34" s="2380"/>
      <c r="Z34" s="2380"/>
      <c r="AA34" s="2380"/>
      <c r="AB34" s="2380"/>
      <c r="AC34" s="548"/>
      <c r="AD34" s="2380" t="str">
        <f>IF(TITLE_DATE_PR_CHANGE="",IF(TITLE_DATE_PR="","",TITLE_DATE_PR),TITLE_DATE_PR_CHANGE)</f>
        <v>45407.47206018519</v>
      </c>
      <c r="AE34" s="2380"/>
      <c r="AF34" s="2380"/>
      <c r="AG34" s="2380"/>
      <c r="AH34" s="2380"/>
      <c r="AI34" s="2380"/>
      <c r="AJ34" s="2380"/>
      <c r="AK34" s="548"/>
      <c r="AL34" s="548"/>
      <c r="AM34" s="502"/>
      <c r="AN34" s="590"/>
      <c r="AO34" s="590"/>
      <c r="AP34" s="590"/>
      <c r="AQ34" s="590"/>
      <c r="AR34" s="590"/>
    </row>
    <row s="16563" customFormat="1" customHeight="1" ht="18.75">
      <c r="A35" s="1595"/>
      <c r="B35" s="1595"/>
      <c r="C35" s="1595"/>
      <c r="D35" s="1595"/>
      <c r="E35" s="1595"/>
      <c r="F35" s="1595"/>
      <c r="G35" s="1595"/>
      <c r="H35" s="1595"/>
      <c r="I35" s="1595"/>
      <c r="J35" s="1595"/>
      <c r="K35" s="1595"/>
      <c r="L35" s="1596"/>
      <c r="M35" s="1595"/>
      <c r="N35" s="1595"/>
      <c r="O35" s="1595"/>
      <c r="S35" s="2379" t="s">
        <v>530</v>
      </c>
      <c r="T35" s="2379"/>
      <c r="U35" s="1599"/>
      <c r="V35" s="2381" t="str">
        <f>IF(TITLE_NUMBER_PR_CHANGE="",IF(TITLE_NUMBER_PR="","",TITLE_NUMBER_PR),TITLE_NUMBER_PR_CHANGE)</f>
        <v>27-2067</v>
      </c>
      <c r="W35" s="2381"/>
      <c r="X35" s="2381"/>
      <c r="Y35" s="2381"/>
      <c r="Z35" s="2381"/>
      <c r="AA35" s="2381"/>
      <c r="AB35" s="2381"/>
      <c r="AC35" s="548"/>
      <c r="AD35" s="2381" t="str">
        <f>IF(TITLE_NUMBER_PR_CHANGE="",IF(TITLE_NUMBER_PR="","",TITLE_NUMBER_PR),TITLE_NUMBER_PR_CHANGE)</f>
        <v>27-2067</v>
      </c>
      <c r="AE35" s="2381"/>
      <c r="AF35" s="2381"/>
      <c r="AG35" s="2381"/>
      <c r="AH35" s="2381"/>
      <c r="AI35" s="2381"/>
      <c r="AJ35" s="2381"/>
      <c r="AK35" s="548"/>
      <c r="AL35" s="548"/>
      <c r="AM35" s="502"/>
      <c r="AN35" s="590"/>
      <c r="AO35" s="590"/>
      <c r="AP35" s="590"/>
      <c r="AQ35" s="590"/>
      <c r="AR35" s="590"/>
    </row>
    <row s="16563" customFormat="1" customHeight="1" ht="0">
      <c r="A36" s="1595"/>
      <c r="B36" s="1595"/>
      <c r="C36" s="1595"/>
      <c r="D36" s="1595"/>
      <c r="E36" s="1595"/>
      <c r="F36" s="1595"/>
      <c r="G36" s="1595"/>
      <c r="H36" s="1595"/>
      <c r="I36" s="1595"/>
      <c r="J36" s="1595"/>
      <c r="K36" s="1595"/>
      <c r="L36" s="1596"/>
      <c r="M36" s="1595"/>
      <c r="N36" s="1595"/>
      <c r="O36" s="1595"/>
      <c r="S36" s="545"/>
      <c r="T36" s="545"/>
      <c r="U36" s="1567"/>
      <c r="V36" s="548"/>
      <c r="W36" s="548"/>
      <c r="X36" s="548"/>
      <c r="Y36" s="548"/>
      <c r="Z36" s="548"/>
      <c r="AA36" s="548"/>
      <c r="AB36" s="548"/>
      <c r="AC36" s="500" t="s">
        <v>531</v>
      </c>
      <c r="AD36" s="548"/>
      <c r="AE36" s="548"/>
      <c r="AF36" s="548"/>
      <c r="AG36" s="548"/>
      <c r="AH36" s="548"/>
      <c r="AI36" s="548"/>
      <c r="AJ36" s="548"/>
      <c r="AK36" s="500" t="s">
        <v>531</v>
      </c>
      <c r="AN36" s="590"/>
      <c r="AO36" s="590"/>
      <c r="AP36" s="590"/>
      <c r="AQ36" s="590"/>
      <c r="AR36" s="590"/>
    </row>
    <row customHeight="1" ht="14.25">
      <c r="Q37" s="598"/>
      <c r="R37" s="598"/>
      <c r="S37" s="1502"/>
      <c r="T37" s="585"/>
      <c r="U37" s="1470"/>
      <c r="V37" s="2405"/>
      <c r="W37" s="2405"/>
      <c r="X37" s="2405"/>
      <c r="Y37" s="2405"/>
      <c r="Z37" s="2405"/>
      <c r="AA37" s="2405"/>
      <c r="AB37" s="2405"/>
      <c r="AC37" s="2405"/>
      <c r="AD37" s="2405"/>
      <c r="AE37" s="2405"/>
      <c r="AF37" s="2405"/>
      <c r="AG37" s="2405"/>
      <c r="AH37" s="2405"/>
      <c r="AI37" s="2405"/>
      <c r="AJ37" s="2405"/>
      <c r="AK37" s="2405"/>
    </row>
    <row customHeight="1" ht="14.25">
      <c r="Q38" s="598"/>
      <c r="R38" s="598"/>
      <c r="S38" s="2253" t="s">
        <v>406</v>
      </c>
      <c r="T38" s="2253"/>
      <c r="U38" s="2253"/>
      <c r="V38" s="2253"/>
      <c r="W38" s="2253"/>
      <c r="X38" s="2253"/>
      <c r="Y38" s="2253"/>
      <c r="Z38" s="2253"/>
      <c r="AA38" s="2253"/>
      <c r="AB38" s="2253"/>
      <c r="AC38" s="2253"/>
      <c r="AD38" s="2253"/>
      <c r="AE38" s="2253"/>
      <c r="AF38" s="2253"/>
      <c r="AG38" s="2253"/>
      <c r="AH38" s="2253"/>
      <c r="AI38" s="2253"/>
      <c r="AJ38" s="2253"/>
      <c r="AK38" s="2253"/>
      <c r="AL38" s="2253"/>
      <c r="AM38" s="2253" t="s">
        <v>407</v>
      </c>
    </row>
    <row customHeight="1" ht="14.25">
      <c r="Q39" s="598"/>
      <c r="R39" s="598"/>
      <c r="S39" s="2406" t="s">
        <v>84</v>
      </c>
      <c r="T39" s="2343" t="s">
        <v>532</v>
      </c>
      <c r="U39" s="523"/>
      <c r="V39" s="2407" t="s">
        <v>533</v>
      </c>
      <c r="W39" s="2408"/>
      <c r="X39" s="2408"/>
      <c r="Y39" s="2408"/>
      <c r="Z39" s="2408"/>
      <c r="AA39" s="2408"/>
      <c r="AB39" s="2409"/>
      <c r="AC39" s="2410" t="s">
        <v>534</v>
      </c>
      <c r="AD39" s="2407" t="s">
        <v>533</v>
      </c>
      <c r="AE39" s="2408"/>
      <c r="AF39" s="2408"/>
      <c r="AG39" s="2408"/>
      <c r="AH39" s="2408"/>
      <c r="AI39" s="2408"/>
      <c r="AJ39" s="2409"/>
      <c r="AK39" s="2410" t="s">
        <v>535</v>
      </c>
      <c r="AL39" s="2413" t="s">
        <v>536</v>
      </c>
      <c r="AM39" s="2253"/>
    </row>
    <row customHeight="1" ht="33.75">
      <c r="Q40" s="598"/>
      <c r="R40" s="598"/>
      <c r="S40" s="2406"/>
      <c r="T40" s="2343"/>
      <c r="U40" s="1254"/>
      <c r="V40" s="2416" t="s">
        <v>537</v>
      </c>
      <c r="W40" s="2397" t="s">
        <v>538</v>
      </c>
      <c r="X40" s="2399" t="s">
        <v>539</v>
      </c>
      <c r="Y40" s="2401"/>
      <c r="Z40" s="2399" t="s">
        <v>552</v>
      </c>
      <c r="AA40" s="2400"/>
      <c r="AB40" s="2401"/>
      <c r="AC40" s="2411"/>
      <c r="AD40" s="2416" t="s">
        <v>537</v>
      </c>
      <c r="AE40" s="2397" t="s">
        <v>538</v>
      </c>
      <c r="AF40" s="2399" t="s">
        <v>539</v>
      </c>
      <c r="AG40" s="2401"/>
      <c r="AH40" s="2399" t="s">
        <v>540</v>
      </c>
      <c r="AI40" s="2400"/>
      <c r="AJ40" s="2401"/>
      <c r="AK40" s="2411"/>
      <c r="AL40" s="2414"/>
      <c r="AM40" s="2253"/>
    </row>
    <row customHeight="1" ht="33.75">
      <c r="A41" s="1597"/>
      <c r="B41" s="1597" t="s">
        <v>191</v>
      </c>
      <c r="C41" s="1597" t="s">
        <v>192</v>
      </c>
      <c r="D41" s="1597" t="s">
        <v>193</v>
      </c>
      <c r="E41" s="1591" t="s">
        <v>541</v>
      </c>
      <c r="F41" s="1591" t="s">
        <v>542</v>
      </c>
      <c r="G41" s="1591" t="s">
        <v>543</v>
      </c>
      <c r="H41" s="1591" t="s">
        <v>544</v>
      </c>
      <c r="I41" s="1591" t="s">
        <v>545</v>
      </c>
      <c r="J41" s="1591" t="s">
        <v>546</v>
      </c>
      <c r="K41" s="1591" t="s">
        <v>547</v>
      </c>
      <c r="L41" s="1591" t="s">
        <v>522</v>
      </c>
      <c r="Q41" s="598"/>
      <c r="R41" s="598"/>
      <c r="S41" s="2406"/>
      <c r="T41" s="2343"/>
      <c r="U41" s="524"/>
      <c r="V41" s="2417"/>
      <c r="W41" s="2398"/>
      <c r="X41" s="1448" t="s">
        <v>548</v>
      </c>
      <c r="Y41" s="1448" t="s">
        <v>549</v>
      </c>
      <c r="Z41" s="1565" t="s">
        <v>550</v>
      </c>
      <c r="AA41" s="2402" t="s">
        <v>551</v>
      </c>
      <c r="AB41" s="2403"/>
      <c r="AC41" s="2412"/>
      <c r="AD41" s="2417"/>
      <c r="AE41" s="2398"/>
      <c r="AF41" s="1448" t="s">
        <v>548</v>
      </c>
      <c r="AG41" s="1448" t="s">
        <v>549</v>
      </c>
      <c r="AH41" s="1565" t="s">
        <v>550</v>
      </c>
      <c r="AI41" s="2402" t="s">
        <v>551</v>
      </c>
      <c r="AJ41" s="2403"/>
      <c r="AK41" s="2412"/>
      <c r="AL41" s="2415"/>
      <c r="AM41" s="2253"/>
    </row>
    <row s="16382" customFormat="1" customHeight="1" ht="11.25" hidden="1">
      <c r="A42" s="1597"/>
      <c r="B42" s="1597"/>
      <c r="C42" s="1597"/>
      <c r="D42" s="1597"/>
      <c r="E42" s="1597"/>
      <c r="F42" s="1597"/>
      <c r="G42" s="1597"/>
      <c r="H42" s="1597"/>
      <c r="I42" s="1597"/>
      <c r="J42" s="1597"/>
      <c r="K42" s="1597"/>
      <c r="L42" s="1591"/>
      <c r="M42" s="1589"/>
      <c r="N42" s="1589"/>
      <c r="O42" s="1589"/>
      <c r="P42" s="1472"/>
      <c r="Q42" s="1473"/>
      <c r="R42" s="1480">
        <v>1</v>
      </c>
      <c r="S42" s="1504" t="s">
        <v>168</v>
      </c>
      <c r="T42" s="1481" t="s">
        <v>99</v>
      </c>
      <c r="U42" s="1471" t="str">
        <f>OFFSET(U42,0,-1)</f>
        <v>2</v>
      </c>
      <c r="V42" s="1562">
        <f>OFFSET(V42,0,-1)+1</f>
        <v>3</v>
      </c>
      <c r="W42" s="1562"/>
      <c r="X42" s="1562">
        <f>OFFSET(X42,0,-1)+1</f>
        <v>1</v>
      </c>
      <c r="Y42" s="1562">
        <f>OFFSET(Y42,0,-1)+1</f>
        <v>2</v>
      </c>
      <c r="Z42" s="1562">
        <f>OFFSET(Z42,0,-1)+1</f>
        <v>3</v>
      </c>
      <c r="AA42" s="2404">
        <f>OFFSET(AA42,0,-1)+1</f>
        <v>4</v>
      </c>
      <c r="AB42" s="2404"/>
      <c r="AC42" s="1562">
        <f>OFFSET(AC42,0,-2)+1</f>
        <v>5</v>
      </c>
      <c r="AD42" s="1562">
        <f>OFFSET(AD42,0,-1)+1</f>
        <v>6</v>
      </c>
      <c r="AE42" s="1562"/>
      <c r="AF42" s="1562">
        <f>OFFSET(AF42,0,-1)+1</f>
        <v>1</v>
      </c>
      <c r="AG42" s="1562">
        <f>OFFSET(AG42,0,-1)+1</f>
        <v>2</v>
      </c>
      <c r="AH42" s="1562">
        <f>OFFSET(AH42,0,-1)+1</f>
        <v>3</v>
      </c>
      <c r="AI42" s="2404">
        <f>OFFSET(AI42,0,-1)+1</f>
        <v>4</v>
      </c>
      <c r="AJ42" s="2404"/>
      <c r="AK42" s="1562">
        <f>OFFSET(AK42,0,-2)+1</f>
        <v>5</v>
      </c>
      <c r="AL42" s="1471">
        <f>OFFSET(AL42,0,-1)</f>
        <v>5</v>
      </c>
      <c r="AM42" s="1562">
        <f>OFFSET(AM42,0,-1)+1</f>
        <v>6</v>
      </c>
      <c r="AN42" s="733"/>
      <c r="AO42" s="733"/>
      <c r="AP42" s="733"/>
      <c r="AQ42" s="733"/>
      <c r="AR42" s="733"/>
    </row>
    <row customHeight="1" ht="21">
      <c r="A43" s="1590" t="s">
        <v>212</v>
      </c>
      <c r="B43" s="1590"/>
      <c r="C43" s="1590"/>
      <c r="D43" s="1590"/>
      <c r="E43" s="2388">
        <v>1</v>
      </c>
      <c r="F43" s="1590"/>
      <c r="G43" s="1590"/>
      <c r="H43" s="1590"/>
      <c r="I43" s="1590"/>
      <c r="J43" s="1590"/>
      <c r="K43" s="1590"/>
      <c r="L43" s="1591"/>
      <c r="M43" s="1592"/>
      <c r="N43" s="1592"/>
      <c r="O43" s="1592"/>
      <c r="P43" s="583"/>
      <c r="Q43" s="582"/>
      <c r="R43" s="577"/>
      <c r="S43" s="1563">
        <f>INDEX(PT_DIFFERENTIATION_NUM_NTAR,MATCH(A43,PT_DIFFERENTIATION_NTAR_ID,0))</f>
        <v>0</v>
      </c>
      <c r="T43" s="520" t="s">
        <v>179</v>
      </c>
      <c r="U43" s="522"/>
      <c r="V43" s="2382"/>
      <c r="W43" s="2383"/>
      <c r="X43" s="2383"/>
      <c r="Y43" s="2383"/>
      <c r="Z43" s="2383"/>
      <c r="AA43" s="2383"/>
      <c r="AB43" s="2383"/>
      <c r="AC43" s="2384"/>
      <c r="AD43" s="2382" t="str">
        <f>INDEX(PT_DIFFERENTIATION_NTAR,MATCH(A43,PT_DIFFERENTIATION_NTAR_ID,0))</f>
        <v/>
      </c>
      <c r="AE43" s="2383"/>
      <c r="AF43" s="2383"/>
      <c r="AG43" s="2383"/>
      <c r="AH43" s="2383"/>
      <c r="AI43" s="2383"/>
      <c r="AJ43" s="2383"/>
      <c r="AK43" s="2383"/>
      <c r="AL43" s="2384"/>
      <c r="AM43" s="14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2"/>
      <c r="AP43" s="722" t="str">
        <f>IF(T43="","",T43)</f>
        <v>Наименование тарифа</v>
      </c>
      <c r="AQ43" s="722"/>
      <c r="AR43" s="722"/>
    </row>
    <row customHeight="1" ht="21">
      <c r="A44" s="1590" t="s">
        <v>212</v>
      </c>
      <c r="B44" s="1590" t="s">
        <v>213</v>
      </c>
      <c r="C44" s="1590"/>
      <c r="D44" s="1590"/>
      <c r="E44" s="2389"/>
      <c r="F44" s="2388">
        <v>1</v>
      </c>
      <c r="G44" s="1590"/>
      <c r="H44" s="1590"/>
      <c r="I44" s="1590"/>
      <c r="J44" s="1590"/>
      <c r="K44" s="1590"/>
      <c r="L44" s="1591"/>
      <c r="M44" s="1592"/>
      <c r="N44" s="1592"/>
      <c r="O44" s="1592"/>
      <c r="P44" s="1559"/>
      <c r="Q44" s="574"/>
      <c r="R44" s="575"/>
      <c r="S44" s="1563" t="str">
        <f>INDEX(PT_DIFFERENTIATION_NUM_TER,MATCH(B44,PT_DIFFERENTIATION_TER_ID,0))</f>
        <v>.</v>
      </c>
      <c r="T44" s="530" t="s">
        <v>503</v>
      </c>
      <c r="U44" s="522"/>
      <c r="V44" s="2382"/>
      <c r="W44" s="2383"/>
      <c r="X44" s="2383"/>
      <c r="Y44" s="2383"/>
      <c r="Z44" s="2383"/>
      <c r="AA44" s="2383"/>
      <c r="AB44" s="2383"/>
      <c r="AC44" s="2384"/>
      <c r="AD44" s="2382" t="str">
        <f>INDEX(PT_DIFFERENTIATION_TER,MATCH(B44,PT_DIFFERENTIATION_TER_ID,0))</f>
        <v/>
      </c>
      <c r="AE44" s="2383"/>
      <c r="AF44" s="2383"/>
      <c r="AG44" s="2383"/>
      <c r="AH44" s="2383"/>
      <c r="AI44" s="2383"/>
      <c r="AJ44" s="2383"/>
      <c r="AK44" s="2383"/>
      <c r="AL44" s="2384"/>
      <c r="AM44" s="1484" t="s">
        <v>504</v>
      </c>
      <c r="AO44" s="722"/>
      <c r="AP44" s="722" t="str">
        <f>IF(T44="","",T44)</f>
        <v>Территория действия тарифа</v>
      </c>
      <c r="AQ44" s="722"/>
      <c r="AR44" s="722"/>
    </row>
    <row customHeight="1" ht="23.25">
      <c r="A45" s="1590" t="s">
        <v>212</v>
      </c>
      <c r="B45" s="1590" t="s">
        <v>213</v>
      </c>
      <c r="C45" s="1590" t="s">
        <v>214</v>
      </c>
      <c r="D45" s="1590"/>
      <c r="E45" s="2389"/>
      <c r="F45" s="2389"/>
      <c r="G45" s="2388">
        <v>1</v>
      </c>
      <c r="H45" s="1590"/>
      <c r="I45" s="1590"/>
      <c r="J45" s="1590"/>
      <c r="K45" s="1590"/>
      <c r="L45" s="1591"/>
      <c r="M45" s="1592"/>
      <c r="N45" s="1592"/>
      <c r="O45" s="1592"/>
      <c r="P45" s="576"/>
      <c r="Q45" s="574"/>
      <c r="R45" s="575"/>
      <c r="S45" s="1563" t="str">
        <f>INDEX(PT_DIFFERENTIATION_NUM_CS,MATCH(C45,PT_DIFFERENTIATION_CS_ID,0))</f>
        <v>..</v>
      </c>
      <c r="T45" s="531" t="s">
        <v>505</v>
      </c>
      <c r="U45" s="522"/>
      <c r="V45" s="2382"/>
      <c r="W45" s="2383"/>
      <c r="X45" s="2383"/>
      <c r="Y45" s="2383"/>
      <c r="Z45" s="2383"/>
      <c r="AA45" s="2383"/>
      <c r="AB45" s="2383"/>
      <c r="AC45" s="2384"/>
      <c r="AD45" s="2382" t="str">
        <f>INDEX(PT_DIFFERENTIATION_CS,MATCH(C45,PT_DIFFERENTIATION_CS_ID,0))</f>
        <v/>
      </c>
      <c r="AE45" s="2383"/>
      <c r="AF45" s="2383"/>
      <c r="AG45" s="2383"/>
      <c r="AH45" s="2383"/>
      <c r="AI45" s="2383"/>
      <c r="AJ45" s="2383"/>
      <c r="AK45" s="2383"/>
      <c r="AL45" s="2384"/>
      <c r="AM45" s="1484" t="s">
        <v>506</v>
      </c>
      <c r="AO45" s="722"/>
      <c r="AP45" s="722" t="str">
        <f>IF(T45="","",T45)</f>
        <v>Наименование системы теплоснабжения </v>
      </c>
      <c r="AQ45" s="722"/>
      <c r="AR45" s="722"/>
    </row>
    <row customHeight="1" ht="21">
      <c r="A46" s="1590" t="s">
        <v>212</v>
      </c>
      <c r="B46" s="1590" t="s">
        <v>213</v>
      </c>
      <c r="C46" s="1590" t="s">
        <v>214</v>
      </c>
      <c r="D46" s="1590" t="s">
        <v>215</v>
      </c>
      <c r="E46" s="2389"/>
      <c r="F46" s="2389"/>
      <c r="G46" s="2389"/>
      <c r="H46" s="2388">
        <v>1</v>
      </c>
      <c r="I46" s="1590"/>
      <c r="J46" s="1590"/>
      <c r="K46" s="1590"/>
      <c r="L46" s="1591"/>
      <c r="M46" s="1592"/>
      <c r="N46" s="1592"/>
      <c r="O46" s="1592"/>
      <c r="P46" s="576"/>
      <c r="Q46" s="574"/>
      <c r="R46" s="575"/>
      <c r="S46" s="1563" t="str">
        <f>INDEX(PT_DIFFERENTIATION_NUM_IST_TE,MATCH(D46,PT_DIFFERENTIATION_IST_TE_ID,0))</f>
        <v>...</v>
      </c>
      <c r="T46" s="532" t="s">
        <v>507</v>
      </c>
      <c r="U46" s="522"/>
      <c r="V46" s="2382"/>
      <c r="W46" s="2383"/>
      <c r="X46" s="2383"/>
      <c r="Y46" s="2383"/>
      <c r="Z46" s="2383"/>
      <c r="AA46" s="2383"/>
      <c r="AB46" s="2383"/>
      <c r="AC46" s="2384"/>
      <c r="AD46" s="2382" t="str">
        <f>INDEX(PT_DIFFERENTIATION_IST_TE,MATCH(D46,PT_DIFFERENTIATION_IST_TE_ID,0))</f>
        <v/>
      </c>
      <c r="AE46" s="2383"/>
      <c r="AF46" s="2383"/>
      <c r="AG46" s="2383"/>
      <c r="AH46" s="2383"/>
      <c r="AI46" s="2383"/>
      <c r="AJ46" s="2383"/>
      <c r="AK46" s="2383"/>
      <c r="AL46" s="2384"/>
      <c r="AM46" s="1484" t="s">
        <v>508</v>
      </c>
      <c r="AO46" s="722"/>
      <c r="AP46" s="722" t="str">
        <f>IF(T46="","",T46)</f>
        <v>Источник тепловой энергии  </v>
      </c>
      <c r="AQ46" s="722"/>
      <c r="AR46" s="722"/>
    </row>
    <row customHeight="1" ht="47.25">
      <c r="A47" s="1590" t="s">
        <v>212</v>
      </c>
      <c r="B47" s="1590" t="s">
        <v>213</v>
      </c>
      <c r="C47" s="1590" t="s">
        <v>214</v>
      </c>
      <c r="D47" s="1590" t="s">
        <v>215</v>
      </c>
      <c r="E47" s="2389"/>
      <c r="F47" s="2389"/>
      <c r="G47" s="2389"/>
      <c r="H47" s="2389"/>
      <c r="I47" s="2390" t="str">
        <f>S46&amp;".1"</f>
        <v>....1</v>
      </c>
      <c r="J47" s="1590"/>
      <c r="K47" s="1590"/>
      <c r="L47" s="1591" t="s">
        <v>509</v>
      </c>
      <c r="P47" s="2392">
        <v>1</v>
      </c>
      <c r="Q47" s="1558"/>
      <c r="R47" s="578"/>
      <c r="S47" s="1563" t="str">
        <f>$I47</f>
        <v>....1</v>
      </c>
      <c r="T47" s="507" t="s">
        <v>510</v>
      </c>
      <c r="U47" s="522"/>
      <c r="V47" s="2376"/>
      <c r="W47" s="2377"/>
      <c r="X47" s="2377"/>
      <c r="Y47" s="2377"/>
      <c r="Z47" s="2377"/>
      <c r="AA47" s="2377"/>
      <c r="AB47" s="2377"/>
      <c r="AC47" s="2378"/>
      <c r="AD47" s="2376"/>
      <c r="AE47" s="2377"/>
      <c r="AF47" s="2377"/>
      <c r="AG47" s="2377"/>
      <c r="AH47" s="2377"/>
      <c r="AI47" s="2377"/>
      <c r="AJ47" s="2377"/>
      <c r="AK47" s="2377"/>
      <c r="AL47" s="2378"/>
      <c r="AM47" s="1484" t="s">
        <v>511</v>
      </c>
      <c r="AO47" s="722"/>
      <c r="AP47" s="722" t="str">
        <f>IF(T47="","",T47)</f>
        <v>Схема подключения теплопотребляющей установки к коллектору источника тепловой энергии</v>
      </c>
      <c r="AQ47" s="722"/>
      <c r="AR47" s="722"/>
    </row>
    <row customHeight="1" ht="21">
      <c r="A48" s="1590" t="s">
        <v>212</v>
      </c>
      <c r="B48" s="1590" t="s">
        <v>213</v>
      </c>
      <c r="C48" s="1590" t="s">
        <v>214</v>
      </c>
      <c r="D48" s="1590" t="s">
        <v>215</v>
      </c>
      <c r="E48" s="2389"/>
      <c r="F48" s="2389"/>
      <c r="G48" s="2389"/>
      <c r="H48" s="2389"/>
      <c r="I48" s="2391"/>
      <c r="J48" s="2390" t="str">
        <f>I47&amp;".1"</f>
        <v>....1.1</v>
      </c>
      <c r="K48" s="1590"/>
      <c r="L48" s="1591" t="s">
        <v>512</v>
      </c>
      <c r="P48" s="2392"/>
      <c r="Q48" s="2392">
        <v>1</v>
      </c>
      <c r="R48" s="579"/>
      <c r="S48" s="1563" t="str">
        <f>$J48</f>
        <v>....1.1</v>
      </c>
      <c r="T48" s="508" t="s">
        <v>513</v>
      </c>
      <c r="U48" s="522"/>
      <c r="V48" s="2376"/>
      <c r="W48" s="2377"/>
      <c r="X48" s="2377"/>
      <c r="Y48" s="2377"/>
      <c r="Z48" s="2377"/>
      <c r="AA48" s="2377"/>
      <c r="AB48" s="2377"/>
      <c r="AC48" s="2378"/>
      <c r="AD48" s="2376"/>
      <c r="AE48" s="2377"/>
      <c r="AF48" s="2377"/>
      <c r="AG48" s="2377"/>
      <c r="AH48" s="2377"/>
      <c r="AI48" s="2377"/>
      <c r="AJ48" s="2377"/>
      <c r="AK48" s="2377"/>
      <c r="AL48" s="2378"/>
      <c r="AM48" s="1484" t="s">
        <v>514</v>
      </c>
      <c r="AO48" s="722"/>
      <c r="AP48" s="722" t="str">
        <f>IF(T48="","",T48)</f>
        <v>Группа потребителей</v>
      </c>
      <c r="AQ48" s="722"/>
      <c r="AR48" s="722"/>
    </row>
    <row customHeight="1" ht="21">
      <c r="A49" s="1590" t="s">
        <v>212</v>
      </c>
      <c r="B49" s="1590" t="s">
        <v>213</v>
      </c>
      <c r="C49" s="1590" t="s">
        <v>214</v>
      </c>
      <c r="D49" s="1590" t="s">
        <v>215</v>
      </c>
      <c r="E49" s="2389"/>
      <c r="F49" s="2389"/>
      <c r="G49" s="2389"/>
      <c r="H49" s="2389"/>
      <c r="I49" s="2391"/>
      <c r="J49" s="2391"/>
      <c r="K49" s="2390" t="str">
        <f>J48&amp;".1"</f>
        <v>....1.1.1</v>
      </c>
      <c r="L49" s="1591" t="s">
        <v>515</v>
      </c>
      <c r="P49" s="2392"/>
      <c r="Q49" s="2392"/>
      <c r="R49" s="579">
        <v>1</v>
      </c>
      <c r="S49" s="1563" t="str">
        <f>$K49</f>
        <v>....1.1.1</v>
      </c>
      <c r="T49" s="1574"/>
      <c r="U49" s="522"/>
      <c r="V49" s="973"/>
      <c r="W49" s="547"/>
      <c r="X49" s="973"/>
      <c r="Y49" s="1483"/>
      <c r="Z49" s="2393"/>
      <c r="AA49" s="2263" t="s">
        <v>63</v>
      </c>
      <c r="AB49" s="2393"/>
      <c r="AC49" s="2263" t="s">
        <v>63</v>
      </c>
      <c r="AD49" s="973"/>
      <c r="AE49" s="547"/>
      <c r="AF49" s="973"/>
      <c r="AG49" s="1483"/>
      <c r="AH49" s="2393"/>
      <c r="AI49" s="2263" t="s">
        <v>63</v>
      </c>
      <c r="AJ49" s="2395"/>
      <c r="AK49" s="2263" t="s">
        <v>63</v>
      </c>
      <c r="AL49" s="1575"/>
      <c r="AM49" s="2418" t="s">
        <v>516</v>
      </c>
      <c r="AN49" s="733">
        <f>STRCHECKDATE(V50:AL50)</f>
      </c>
      <c r="AO49" s="722"/>
      <c r="AP49" s="722" t="str">
        <f>IF(T49="","",T49)</f>
        <v/>
      </c>
      <c r="AQ49" s="722"/>
      <c r="AR49" s="722"/>
    </row>
    <row customHeight="1" ht="0.75">
      <c r="A50" s="1590" t="s">
        <v>212</v>
      </c>
      <c r="B50" s="1590" t="s">
        <v>213</v>
      </c>
      <c r="C50" s="1590" t="s">
        <v>214</v>
      </c>
      <c r="D50" s="1590" t="s">
        <v>215</v>
      </c>
      <c r="E50" s="2389"/>
      <c r="F50" s="2389"/>
      <c r="G50" s="2389"/>
      <c r="H50" s="2389"/>
      <c r="I50" s="2391"/>
      <c r="J50" s="2391"/>
      <c r="K50" s="2390"/>
      <c r="L50" s="1591"/>
      <c r="P50" s="2392"/>
      <c r="Q50" s="2392"/>
      <c r="R50" s="579"/>
      <c r="S50" s="1569"/>
      <c r="T50" s="522"/>
      <c r="U50" s="522"/>
      <c r="V50" s="547"/>
      <c r="W50" s="547"/>
      <c r="X50" s="547"/>
      <c r="Y50" s="550" t="str">
        <f>Z49&amp;"-"&amp;AB49</f>
        <v>-</v>
      </c>
      <c r="Z50" s="2394"/>
      <c r="AA50" s="2263"/>
      <c r="AB50" s="2394"/>
      <c r="AC50" s="2263"/>
      <c r="AD50" s="547"/>
      <c r="AE50" s="547"/>
      <c r="AF50" s="547"/>
      <c r="AG50" s="550" t="str">
        <f>AH49&amp;"-"&amp;AJ49</f>
        <v>-</v>
      </c>
      <c r="AH50" s="2394"/>
      <c r="AI50" s="2263"/>
      <c r="AJ50" s="2396"/>
      <c r="AK50" s="2263"/>
      <c r="AL50" s="1576"/>
      <c r="AM50" s="2419"/>
      <c r="AO50" s="722"/>
      <c r="AP50" s="722" t="str">
        <f>IF(T50="","",T50)</f>
        <v/>
      </c>
      <c r="AQ50" s="722"/>
      <c r="AR50" s="722"/>
    </row>
    <row customHeight="1" ht="11.25">
      <c r="A51" s="1590" t="s">
        <v>212</v>
      </c>
      <c r="B51" s="1590" t="s">
        <v>213</v>
      </c>
      <c r="C51" s="1590" t="s">
        <v>214</v>
      </c>
      <c r="D51" s="1590" t="s">
        <v>215</v>
      </c>
      <c r="E51" s="2389"/>
      <c r="F51" s="2389"/>
      <c r="G51" s="2389"/>
      <c r="H51" s="2389"/>
      <c r="I51" s="2391"/>
      <c r="J51" s="2390"/>
      <c r="K51" s="1590"/>
      <c r="L51" s="1591"/>
      <c r="P51" s="2392"/>
      <c r="Q51" s="2392"/>
      <c r="R51" s="578"/>
      <c r="S51" s="1505"/>
      <c r="T51" s="510" t="s">
        <v>517</v>
      </c>
      <c r="U51" s="589"/>
      <c r="V51" s="589"/>
      <c r="W51" s="589"/>
      <c r="X51" s="589"/>
      <c r="Y51" s="589"/>
      <c r="Z51" s="589"/>
      <c r="AA51" s="589"/>
      <c r="AB51" s="589"/>
      <c r="AC51" s="589"/>
      <c r="AD51" s="589"/>
      <c r="AE51" s="589"/>
      <c r="AF51" s="589"/>
      <c r="AG51" s="589"/>
      <c r="AH51" s="589"/>
      <c r="AI51" s="589"/>
      <c r="AJ51" s="589"/>
      <c r="AK51" s="589"/>
      <c r="AL51" s="546"/>
      <c r="AM51" s="2420"/>
      <c r="AO51" s="722"/>
      <c r="AP51" s="722" t="str">
        <f>IF(T51="","",T51)</f>
        <v>Добавить вид теплоносителя (параметры теплоносителя)</v>
      </c>
      <c r="AQ51" s="722"/>
      <c r="AR51" s="722"/>
    </row>
    <row customHeight="1" ht="11.25">
      <c r="A52" s="1590" t="s">
        <v>212</v>
      </c>
      <c r="B52" s="1590" t="s">
        <v>213</v>
      </c>
      <c r="C52" s="1590" t="s">
        <v>214</v>
      </c>
      <c r="D52" s="1590" t="s">
        <v>215</v>
      </c>
      <c r="E52" s="2389"/>
      <c r="F52" s="2389"/>
      <c r="G52" s="2389"/>
      <c r="H52" s="2389"/>
      <c r="I52" s="2390"/>
      <c r="J52" s="1590"/>
      <c r="K52" s="1590"/>
      <c r="L52" s="1591"/>
      <c r="P52" s="2392"/>
      <c r="Q52" s="1558"/>
      <c r="R52" s="578"/>
      <c r="S52" s="1505"/>
      <c r="T52" s="509" t="s">
        <v>518</v>
      </c>
      <c r="U52" s="589"/>
      <c r="V52" s="589"/>
      <c r="W52" s="589"/>
      <c r="X52" s="589"/>
      <c r="Y52" s="589"/>
      <c r="Z52" s="589"/>
      <c r="AA52" s="589"/>
      <c r="AB52" s="589"/>
      <c r="AC52" s="588"/>
      <c r="AD52" s="589"/>
      <c r="AE52" s="589"/>
      <c r="AF52" s="589"/>
      <c r="AG52" s="589"/>
      <c r="AH52" s="589"/>
      <c r="AI52" s="589"/>
      <c r="AJ52" s="589"/>
      <c r="AK52" s="588"/>
      <c r="AL52" s="589"/>
      <c r="AM52" s="525"/>
      <c r="AO52" s="722"/>
      <c r="AP52" s="722" t="str">
        <f>IF(T52="","",T52)</f>
        <v>Добавить группу потребителей</v>
      </c>
      <c r="AQ52" s="722"/>
      <c r="AR52" s="722"/>
    </row>
    <row customHeight="1" ht="14.25">
      <c r="A53" s="1590" t="s">
        <v>212</v>
      </c>
      <c r="B53" s="1590" t="s">
        <v>213</v>
      </c>
      <c r="C53" s="1590" t="s">
        <v>214</v>
      </c>
      <c r="D53" s="1590" t="s">
        <v>215</v>
      </c>
      <c r="E53" s="2389"/>
      <c r="F53" s="2389"/>
      <c r="G53" s="2389"/>
      <c r="H53" s="2388"/>
      <c r="I53" s="1590"/>
      <c r="J53" s="1590"/>
      <c r="K53" s="1590"/>
      <c r="L53" s="1591"/>
      <c r="M53" s="1592"/>
      <c r="N53" s="1592"/>
      <c r="O53" s="759"/>
      <c r="P53" s="582"/>
      <c r="Q53" s="597"/>
      <c r="R53" s="577"/>
      <c r="S53" s="1505"/>
      <c r="T53" s="587" t="s">
        <v>519</v>
      </c>
      <c r="U53" s="589"/>
      <c r="V53" s="589"/>
      <c r="W53" s="589"/>
      <c r="X53" s="589"/>
      <c r="Y53" s="589"/>
      <c r="Z53" s="589"/>
      <c r="AA53" s="589"/>
      <c r="AB53" s="589"/>
      <c r="AC53" s="588"/>
      <c r="AD53" s="589"/>
      <c r="AE53" s="589"/>
      <c r="AF53" s="589"/>
      <c r="AG53" s="589"/>
      <c r="AH53" s="589"/>
      <c r="AI53" s="589"/>
      <c r="AJ53" s="589"/>
      <c r="AK53" s="588"/>
      <c r="AL53" s="589"/>
      <c r="AM53" s="525"/>
      <c r="AO53" s="722"/>
      <c r="AP53" s="722" t="str">
        <f>IF(T53="","",T53)</f>
        <v>Добавить схему подключения</v>
      </c>
      <c r="AQ53" s="722"/>
      <c r="AR53" s="722"/>
    </row>
    <row s="16531" customFormat="1" customHeight="1" ht="0.75">
      <c r="A54" s="1570" t="s">
        <v>212</v>
      </c>
      <c r="B54" s="1570" t="s">
        <v>213</v>
      </c>
      <c r="C54" s="1570" t="s">
        <v>214</v>
      </c>
      <c r="D54" s="1541"/>
      <c r="E54" s="2389"/>
      <c r="F54" s="2389"/>
      <c r="G54" s="2388"/>
      <c r="H54" s="1541"/>
      <c r="I54" s="1541"/>
      <c r="J54" s="1541"/>
      <c r="K54" s="1541"/>
      <c r="L54" s="1566"/>
      <c r="M54" s="1542"/>
      <c r="N54" s="1542"/>
      <c r="P54" s="1543"/>
      <c r="Q54" s="1544"/>
      <c r="R54" s="1543"/>
      <c r="S54" s="1549"/>
      <c r="T54" s="1552" t="s">
        <v>520</v>
      </c>
      <c r="U54" s="1551"/>
      <c r="V54" s="1551"/>
      <c r="W54" s="1551"/>
      <c r="X54" s="1551"/>
      <c r="Y54" s="1551"/>
      <c r="Z54" s="1551"/>
      <c r="AA54" s="1551"/>
      <c r="AB54" s="1551"/>
      <c r="AC54" s="1551"/>
      <c r="AD54" s="1551"/>
      <c r="AE54" s="1551"/>
      <c r="AF54" s="1551"/>
      <c r="AG54" s="1551"/>
      <c r="AH54" s="1551"/>
      <c r="AI54" s="1551"/>
      <c r="AJ54" s="1551"/>
      <c r="AK54" s="1551"/>
      <c r="AL54" s="1551"/>
      <c r="AM54" s="1551"/>
      <c r="AO54" s="1011"/>
      <c r="AP54" s="1011" t="str">
        <f>IF(T54="","",T54)</f>
        <v>Добавить источник для дифференциации</v>
      </c>
      <c r="AQ54" s="1011"/>
      <c r="AR54" s="1011"/>
    </row>
    <row s="16531" customFormat="1" customHeight="1" ht="0.75">
      <c r="A55" s="1570" t="s">
        <v>212</v>
      </c>
      <c r="B55" s="1570" t="s">
        <v>213</v>
      </c>
      <c r="C55" s="1541"/>
      <c r="D55" s="1541"/>
      <c r="E55" s="2389"/>
      <c r="F55" s="2388"/>
      <c r="G55" s="1541"/>
      <c r="H55" s="1541"/>
      <c r="I55" s="1541"/>
      <c r="J55" s="1541"/>
      <c r="K55" s="1541"/>
      <c r="L55" s="1566"/>
      <c r="M55" s="1548"/>
      <c r="N55" s="1548"/>
      <c r="P55" s="1543"/>
      <c r="Q55" s="1544"/>
      <c r="R55" s="1543"/>
      <c r="S55" s="1549"/>
      <c r="T55" s="1552" t="s">
        <v>305</v>
      </c>
      <c r="U55" s="1551"/>
      <c r="V55" s="1551"/>
      <c r="W55" s="1551"/>
      <c r="X55" s="1551"/>
      <c r="Y55" s="1551"/>
      <c r="Z55" s="1551"/>
      <c r="AA55" s="1551"/>
      <c r="AB55" s="1551"/>
      <c r="AC55" s="1551"/>
      <c r="AD55" s="1551"/>
      <c r="AE55" s="1551"/>
      <c r="AF55" s="1551"/>
      <c r="AG55" s="1551"/>
      <c r="AH55" s="1551"/>
      <c r="AI55" s="1551"/>
      <c r="AJ55" s="1551"/>
      <c r="AK55" s="1551"/>
      <c r="AL55" s="1551"/>
      <c r="AM55" s="1551"/>
      <c r="AO55" s="1011"/>
      <c r="AP55" s="1011" t="str">
        <f>IF(T55="","",T55)</f>
        <v>Добавить централизованную систему для дифференциации</v>
      </c>
      <c r="AQ55" s="1011"/>
      <c r="AR55" s="1011"/>
    </row>
    <row s="16622" customFormat="1" customHeight="1" ht="0.75">
      <c r="A56" s="1570" t="s">
        <v>212</v>
      </c>
      <c r="B56" s="1570"/>
      <c r="C56" s="1570"/>
      <c r="D56" s="1570"/>
      <c r="E56" s="2388"/>
      <c r="F56" s="1570"/>
      <c r="G56" s="1570"/>
      <c r="H56" s="1570"/>
      <c r="I56" s="1570"/>
      <c r="J56" s="1570"/>
      <c r="K56" s="1570"/>
      <c r="L56" s="1573"/>
      <c r="M56" s="1548"/>
      <c r="N56" s="1548"/>
      <c r="O56" s="740"/>
      <c r="P56" s="602"/>
      <c r="Q56" s="1571"/>
      <c r="R56" s="602"/>
      <c r="S56" s="1549"/>
      <c r="T56" s="1552" t="s">
        <v>358</v>
      </c>
      <c r="U56" s="1551"/>
      <c r="V56" s="1551"/>
      <c r="W56" s="1551"/>
      <c r="X56" s="1551"/>
      <c r="Y56" s="1551"/>
      <c r="Z56" s="1551"/>
      <c r="AA56" s="1551"/>
      <c r="AB56" s="1551"/>
      <c r="AC56" s="1551"/>
      <c r="AD56" s="1551"/>
      <c r="AE56" s="1551"/>
      <c r="AF56" s="1551"/>
      <c r="AG56" s="1551"/>
      <c r="AH56" s="1551"/>
      <c r="AI56" s="1551"/>
      <c r="AJ56" s="1551"/>
      <c r="AK56" s="1551"/>
      <c r="AL56" s="1551"/>
      <c r="AM56" s="1551"/>
      <c r="AO56" s="722"/>
      <c r="AP56" s="722" t="str">
        <f>IF(T56="","",T56)</f>
        <v>Добавить территорию для дифференциации</v>
      </c>
      <c r="AQ56" s="722"/>
      <c r="AR56" s="722"/>
    </row>
    <row s="16531" customFormat="1" customHeight="1" ht="0.75">
      <c r="A57" s="1541"/>
      <c r="B57" s="1541"/>
      <c r="C57" s="1541"/>
      <c r="D57" s="1541"/>
      <c r="E57" s="1570"/>
      <c r="F57" s="1541"/>
      <c r="G57" s="1541"/>
      <c r="H57" s="1541"/>
      <c r="I57" s="1541"/>
      <c r="J57" s="1541"/>
      <c r="K57" s="1541"/>
      <c r="L57" s="1566"/>
      <c r="M57" s="1548"/>
      <c r="N57" s="1548"/>
      <c r="P57" s="1543"/>
      <c r="Q57" s="1544"/>
      <c r="R57" s="1543"/>
      <c r="S57" s="1549"/>
      <c r="T57" s="1552" t="s">
        <v>359</v>
      </c>
      <c r="U57" s="1551"/>
      <c r="V57" s="1551"/>
      <c r="W57" s="1551"/>
      <c r="X57" s="1551"/>
      <c r="Y57" s="1551"/>
      <c r="Z57" s="1551"/>
      <c r="AA57" s="1551"/>
      <c r="AB57" s="1551"/>
      <c r="AC57" s="1551"/>
      <c r="AD57" s="1551"/>
      <c r="AE57" s="1551"/>
      <c r="AF57" s="1551"/>
      <c r="AG57" s="1551"/>
      <c r="AH57" s="1551"/>
      <c r="AI57" s="1551"/>
      <c r="AJ57" s="1551"/>
      <c r="AK57" s="1551"/>
      <c r="AL57" s="1551"/>
      <c r="AM57" s="1551"/>
      <c r="AO57" s="1011"/>
      <c r="AP57" s="1011" t="str">
        <f>IF(T57="","",T57)</f>
        <v>Добавить наименование тарифа</v>
      </c>
      <c r="AQ57" s="1011"/>
      <c r="AR57" s="1011"/>
    </row>
    <row customHeight="1" ht="11.25">
      <c r="M58" s="1384"/>
      <c r="N58" s="1384"/>
      <c r="O58" s="759"/>
      <c r="P58" s="1379"/>
      <c r="Q58" s="1379"/>
      <c r="R58" s="1379"/>
      <c r="S58" s="1379"/>
      <c r="AN58" s="1379"/>
      <c r="AO58" s="1379"/>
      <c r="AP58" s="1379"/>
      <c r="AQ58" s="1379"/>
      <c r="AR58" s="1379"/>
    </row>
    <row customHeight="1" ht="27">
      <c r="O59" s="759"/>
      <c r="S59" s="1479"/>
      <c r="T59" s="2387"/>
      <c r="U59" s="2387"/>
      <c r="V59" s="2387"/>
      <c r="W59" s="2387"/>
      <c r="X59" s="2387"/>
      <c r="Y59" s="2387"/>
      <c r="Z59" s="2387"/>
      <c r="AA59" s="2387"/>
      <c r="AB59" s="2387"/>
      <c r="AC59" s="2387"/>
      <c r="AD59" s="2387"/>
      <c r="AE59" s="2387"/>
      <c r="AF59" s="2387"/>
      <c r="AG59" s="2387"/>
      <c r="AH59" s="2387"/>
      <c r="AI59" s="2387"/>
      <c r="AJ59" s="2387"/>
      <c r="AK59" s="2387"/>
      <c r="AL59" s="2387"/>
      <c r="AM59" s="2387"/>
    </row>
    <row customHeight="1" ht="62.25">
      <c r="O60" s="759"/>
      <c r="T60" s="2387"/>
      <c r="U60" s="2387"/>
      <c r="V60" s="2387"/>
      <c r="W60" s="2387"/>
      <c r="X60" s="2387"/>
      <c r="Y60" s="2387"/>
      <c r="Z60" s="2387"/>
      <c r="AA60" s="2387"/>
      <c r="AB60" s="2387"/>
      <c r="AC60" s="2387"/>
      <c r="AD60" s="2387"/>
      <c r="AE60" s="2387"/>
      <c r="AF60" s="2387"/>
      <c r="AG60" s="2387"/>
      <c r="AH60" s="2387"/>
      <c r="AI60" s="2387"/>
      <c r="AJ60" s="2387"/>
      <c r="AK60" s="2387"/>
      <c r="AL60" s="2387"/>
      <c r="AM60" s="2387"/>
    </row>
    <row customHeight="1" ht="14.25">
      <c r="O61" s="759"/>
    </row>
    <row customHeight="1" ht="18">
      <c r="O62" s="759"/>
      <c r="S62" s="1479"/>
      <c r="T62" s="2387"/>
      <c r="U62" s="2387"/>
      <c r="V62" s="2387"/>
      <c r="W62" s="2387"/>
      <c r="X62" s="2387"/>
      <c r="Y62" s="2387"/>
      <c r="Z62" s="2387"/>
      <c r="AA62" s="2387"/>
      <c r="AB62" s="2387"/>
      <c r="AC62" s="2387"/>
      <c r="AD62" s="2387"/>
      <c r="AE62" s="2387"/>
      <c r="AF62" s="2387"/>
      <c r="AG62" s="2387"/>
      <c r="AH62" s="2387"/>
      <c r="AI62" s="2387"/>
      <c r="AJ62" s="2387"/>
      <c r="AK62" s="2387"/>
      <c r="AL62" s="2387"/>
      <c r="AM62" s="2387"/>
    </row>
    <row customHeight="1" ht="18">
      <c r="O63" s="759"/>
      <c r="T63" s="2387"/>
      <c r="U63" s="2387"/>
      <c r="V63" s="2387"/>
      <c r="W63" s="2387"/>
      <c r="X63" s="2387"/>
      <c r="Y63" s="2387"/>
      <c r="Z63" s="2387"/>
      <c r="AA63" s="2387"/>
      <c r="AB63" s="2387"/>
      <c r="AC63" s="2387"/>
      <c r="AD63" s="2387"/>
      <c r="AE63" s="2387"/>
      <c r="AF63" s="2387"/>
      <c r="AG63" s="2387"/>
      <c r="AH63" s="2387"/>
      <c r="AI63" s="2387"/>
      <c r="AJ63" s="2387"/>
      <c r="AK63" s="2387"/>
      <c r="AL63" s="2387"/>
      <c r="AM63" s="2387"/>
    </row>
    <row customHeight="1" ht="27.75">
      <c r="O64" s="759"/>
      <c r="S64" s="1479"/>
      <c r="T64" s="2387"/>
      <c r="U64" s="2387"/>
      <c r="V64" s="2387"/>
      <c r="W64" s="2387"/>
      <c r="X64" s="2387"/>
      <c r="Y64" s="2387"/>
      <c r="Z64" s="2387"/>
      <c r="AA64" s="2387"/>
      <c r="AB64" s="2387"/>
      <c r="AC64" s="2387"/>
      <c r="AD64" s="2387"/>
      <c r="AE64" s="2387"/>
      <c r="AF64" s="2387"/>
      <c r="AG64" s="2387"/>
      <c r="AH64" s="2387"/>
      <c r="AI64" s="2387"/>
      <c r="AJ64" s="2387"/>
      <c r="AK64" s="2387"/>
      <c r="AL64" s="2387"/>
      <c r="AM64" s="2387"/>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7394A1-F4B7-D41E-3AE1-2C921DD94919}"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16676" width="10.57421875" hidden="1"/>
    <col min="2" max="2" style="16676" width="11.00390625" hidden="1" customWidth="1"/>
    <col min="3" max="3" style="16676" width="10.57421875" hidden="1"/>
    <col min="4" max="4" style="16676" width="11.8515625" hidden="1" customWidth="1"/>
    <col min="5" max="5" style="16676" width="10.00390625" hidden="1" customWidth="1"/>
    <col min="6" max="6" style="16676" width="8.7109375" hidden="1" customWidth="1"/>
    <col min="7" max="7" style="16676" width="7.57421875" hidden="1" customWidth="1"/>
    <col min="8" max="8" style="16676" width="11.421875" hidden="1" customWidth="1"/>
    <col min="9" max="9" style="16676" width="12.00390625" hidden="1" customWidth="1"/>
    <col min="10" max="10" style="16676" width="9.8515625" hidden="1" customWidth="1"/>
    <col min="11" max="11" style="16676" width="11.421875" hidden="1" customWidth="1"/>
    <col min="12" max="12" style="16677" width="19.140625" hidden="1" customWidth="1"/>
    <col min="13" max="14" style="16678" width="12.28125" hidden="1" customWidth="1"/>
    <col min="15" max="15" style="16678" width="23.421875" hidden="1" customWidth="1"/>
    <col min="16" max="16" style="16678" width="3.7109375" customWidth="1"/>
    <col min="17" max="18" style="16633" width="3.7109375" customWidth="1"/>
    <col min="19" max="19" style="16634" width="12.7109375" customWidth="1"/>
    <col min="20" max="20" style="16676" width="32.00390625" customWidth="1"/>
    <col min="21" max="21" style="16676" width="0.140625" customWidth="1"/>
    <col min="22" max="22" style="16676" width="24.7109375" hidden="1" customWidth="1"/>
    <col min="23" max="23" style="16676" width="0.140625" hidden="1" customWidth="1"/>
    <col min="24" max="25" style="16676" width="24.7109375" hidden="1" customWidth="1"/>
    <col min="26" max="26" style="16676" width="11.7109375" hidden="1" customWidth="1"/>
    <col min="27" max="27" style="16676" width="3.7109375" hidden="1" customWidth="1"/>
    <col min="28" max="28" style="16676" width="11.7109375" hidden="1" customWidth="1"/>
    <col min="29" max="29" style="16676" width="8.57421875" hidden="1" customWidth="1"/>
    <col min="30" max="30" style="16676" width="24.7109375" customWidth="1"/>
    <col min="31" max="31" style="16676" width="0.140625" customWidth="1"/>
    <col min="32" max="33" style="16676" width="24.7109375" customWidth="1"/>
    <col min="34" max="34" style="16676" width="11.7109375" customWidth="1"/>
    <col min="35" max="35" style="16676" width="3.7109375" customWidth="1"/>
    <col min="36" max="36" style="16676" width="11.7109375" customWidth="1"/>
    <col min="37" max="37" style="16676" width="8.57421875" hidden="1" customWidth="1"/>
    <col min="38" max="38" style="16676" width="4.7109375" customWidth="1"/>
    <col min="39" max="39" style="16676" width="115.7109375" customWidth="1"/>
    <col min="40" max="41" style="16674" width="10.57421875"/>
    <col min="42" max="42" style="16674" width="11.140625" customWidth="1"/>
    <col min="43" max="44" style="16674" width="10.57421875"/>
  </cols>
  <sheetData>
    <row customHeight="1" ht="14.25" hidden="1"/>
    <row customHeight="1" ht="21" hidden="1">
      <c r="A2" s="1494"/>
      <c r="B2" s="1494"/>
      <c r="C2" s="1494"/>
      <c r="D2" s="1494"/>
      <c r="E2" s="2423">
        <v>1</v>
      </c>
      <c r="F2" s="1494"/>
      <c r="G2" s="1494"/>
      <c r="H2" s="1494"/>
      <c r="I2" s="1494"/>
      <c r="J2" s="1494"/>
      <c r="K2" s="1494"/>
      <c r="L2" s="1537"/>
      <c r="M2" s="1837"/>
      <c r="N2" s="1837"/>
      <c r="O2" s="1837"/>
      <c r="P2" s="1817"/>
      <c r="Q2" s="582"/>
      <c r="R2" s="577"/>
      <c r="S2" s="2186">
        <f>INDEX(PT_DIFFERENTIATION_NUM_NTAR,MATCH(A2,PT_DIFFERENTIATION_NTAR_ID,0))</f>
      </c>
      <c r="T2" s="1752" t="s">
        <v>179</v>
      </c>
      <c r="U2" s="522"/>
      <c r="V2" s="2382"/>
      <c r="W2" s="2383"/>
      <c r="X2" s="2383"/>
      <c r="Y2" s="2383"/>
      <c r="Z2" s="2383"/>
      <c r="AA2" s="2383"/>
      <c r="AB2" s="2383"/>
      <c r="AC2" s="2384"/>
      <c r="AD2" s="2382">
        <f>INDEX(PT_DIFFERENTIATION_NTAR,MATCH(A2,PT_DIFFERENTIATION_NTAR_ID,0))</f>
      </c>
      <c r="AE2" s="2383"/>
      <c r="AF2" s="2383"/>
      <c r="AG2" s="2383"/>
      <c r="AH2" s="2383"/>
      <c r="AI2" s="2383"/>
      <c r="AJ2" s="2383"/>
      <c r="AK2" s="2383"/>
      <c r="AL2" s="2384"/>
      <c r="AM2" s="1484" t="s">
        <v>502</v>
      </c>
      <c r="AO2" s="1851"/>
      <c r="AP2" s="1851" t="str">
        <f>IF(T2="","",T2)</f>
        <v>Наименование тарифа</v>
      </c>
      <c r="AQ2" s="1851"/>
      <c r="AR2" s="1851"/>
    </row>
    <row customHeight="1" ht="21" hidden="1">
      <c r="A3" s="1494"/>
      <c r="B3" s="1494"/>
      <c r="C3" s="1494"/>
      <c r="D3" s="1494"/>
      <c r="E3" s="2424"/>
      <c r="F3" s="2423">
        <v>1</v>
      </c>
      <c r="G3" s="1494"/>
      <c r="H3" s="1494"/>
      <c r="I3" s="1494"/>
      <c r="J3" s="1494"/>
      <c r="K3" s="1494"/>
      <c r="L3" s="1537"/>
      <c r="M3" s="1837"/>
      <c r="N3" s="1837"/>
      <c r="O3" s="1837"/>
      <c r="P3" s="2168"/>
      <c r="Q3" s="574"/>
      <c r="R3" s="575"/>
      <c r="S3" s="2186">
        <f>INDEX(PT_DIFFERENTIATION_NUM_TER,MATCH(B3,PT_DIFFERENTIATION_TER_ID,0))</f>
      </c>
      <c r="T3" s="1749" t="s">
        <v>503</v>
      </c>
      <c r="U3" s="522"/>
      <c r="V3" s="2382"/>
      <c r="W3" s="2383"/>
      <c r="X3" s="2383"/>
      <c r="Y3" s="2383"/>
      <c r="Z3" s="2383"/>
      <c r="AA3" s="2383"/>
      <c r="AB3" s="2383"/>
      <c r="AC3" s="2384"/>
      <c r="AD3" s="2382">
        <f>INDEX(PT_DIFFERENTIATION_TER,MATCH(B3,PT_DIFFERENTIATION_TER_ID,0))</f>
      </c>
      <c r="AE3" s="2383"/>
      <c r="AF3" s="2383"/>
      <c r="AG3" s="2383"/>
      <c r="AH3" s="2383"/>
      <c r="AI3" s="2383"/>
      <c r="AJ3" s="2383"/>
      <c r="AK3" s="2383"/>
      <c r="AL3" s="2384"/>
      <c r="AM3" s="1484" t="s">
        <v>504</v>
      </c>
      <c r="AO3" s="1851"/>
      <c r="AP3" s="1851" t="str">
        <f>IF(T3="","",T3)</f>
        <v>Территория действия тарифа</v>
      </c>
      <c r="AQ3" s="1851"/>
      <c r="AR3" s="1851"/>
    </row>
    <row customHeight="1" ht="23.25" hidden="1">
      <c r="A4" s="1494"/>
      <c r="B4" s="1494"/>
      <c r="C4" s="1494"/>
      <c r="D4" s="1494"/>
      <c r="E4" s="2424"/>
      <c r="F4" s="2424"/>
      <c r="G4" s="2423">
        <v>1</v>
      </c>
      <c r="H4" s="1494"/>
      <c r="I4" s="1494"/>
      <c r="J4" s="1494"/>
      <c r="K4" s="1494"/>
      <c r="L4" s="1537"/>
      <c r="M4" s="1837"/>
      <c r="N4" s="1837"/>
      <c r="O4" s="1837"/>
      <c r="P4" s="576"/>
      <c r="Q4" s="574"/>
      <c r="R4" s="575"/>
      <c r="S4" s="2186">
        <f>INDEX(PT_DIFFERENTIATION_NUM_CS,MATCH(C4,PT_DIFFERENTIATION_CS_ID,0))</f>
      </c>
      <c r="T4" s="531" t="s">
        <v>505</v>
      </c>
      <c r="U4" s="522"/>
      <c r="V4" s="2382"/>
      <c r="W4" s="2383"/>
      <c r="X4" s="2383"/>
      <c r="Y4" s="2383"/>
      <c r="Z4" s="2383"/>
      <c r="AA4" s="2383"/>
      <c r="AB4" s="2383"/>
      <c r="AC4" s="2384"/>
      <c r="AD4" s="2382">
        <f>INDEX(PT_DIFFERENTIATION_CS,MATCH(C4,PT_DIFFERENTIATION_CS_ID,0))</f>
      </c>
      <c r="AE4" s="2383"/>
      <c r="AF4" s="2383"/>
      <c r="AG4" s="2383"/>
      <c r="AH4" s="2383"/>
      <c r="AI4" s="2383"/>
      <c r="AJ4" s="2383"/>
      <c r="AK4" s="2383"/>
      <c r="AL4" s="2384"/>
      <c r="AM4" s="1484" t="s">
        <v>506</v>
      </c>
      <c r="AO4" s="1851"/>
      <c r="AP4" s="1851" t="str">
        <f>IF(T4="","",T4)</f>
        <v>Наименование системы теплоснабжения </v>
      </c>
      <c r="AQ4" s="1851"/>
      <c r="AR4" s="1851"/>
    </row>
    <row customHeight="1" ht="21" hidden="1">
      <c r="A5" s="1494"/>
      <c r="B5" s="1494"/>
      <c r="C5" s="1494"/>
      <c r="D5" s="1494"/>
      <c r="E5" s="2424"/>
      <c r="F5" s="2424"/>
      <c r="G5" s="2424"/>
      <c r="H5" s="2423">
        <v>1</v>
      </c>
      <c r="I5" s="1494"/>
      <c r="J5" s="1494"/>
      <c r="K5" s="1494"/>
      <c r="L5" s="1537"/>
      <c r="M5" s="1837"/>
      <c r="N5" s="1837"/>
      <c r="O5" s="1837"/>
      <c r="P5" s="576"/>
      <c r="Q5" s="574"/>
      <c r="R5" s="575"/>
      <c r="S5" s="2186">
        <f>INDEX(PT_DIFFERENTIATION_NUM_IST_TE,MATCH(D5,PT_DIFFERENTIATION_IST_TE_ID,0))</f>
      </c>
      <c r="T5" s="532" t="s">
        <v>507</v>
      </c>
      <c r="U5" s="522"/>
      <c r="V5" s="2382"/>
      <c r="W5" s="2383"/>
      <c r="X5" s="2383"/>
      <c r="Y5" s="2383"/>
      <c r="Z5" s="2383"/>
      <c r="AA5" s="2383"/>
      <c r="AB5" s="2383"/>
      <c r="AC5" s="2384"/>
      <c r="AD5" s="2382">
        <f>INDEX(PT_DIFFERENTIATION_IST_TE,MATCH(D5,PT_DIFFERENTIATION_IST_TE_ID,0))</f>
      </c>
      <c r="AE5" s="2383"/>
      <c r="AF5" s="2383"/>
      <c r="AG5" s="2383"/>
      <c r="AH5" s="2383"/>
      <c r="AI5" s="2383"/>
      <c r="AJ5" s="2383"/>
      <c r="AK5" s="2383"/>
      <c r="AL5" s="2384"/>
      <c r="AM5" s="1484" t="s">
        <v>508</v>
      </c>
      <c r="AO5" s="1851"/>
      <c r="AP5" s="1851" t="str">
        <f>IF(T5="","",T5)</f>
        <v>Источник тепловой энергии  </v>
      </c>
      <c r="AQ5" s="1851"/>
      <c r="AR5" s="1851"/>
    </row>
    <row customHeight="1" ht="47.25" hidden="1">
      <c r="A6" s="1494"/>
      <c r="B6" s="1494"/>
      <c r="C6" s="1494"/>
      <c r="D6" s="1494"/>
      <c r="E6" s="2424"/>
      <c r="F6" s="2424"/>
      <c r="G6" s="2424"/>
      <c r="H6" s="2424"/>
      <c r="I6" s="2253">
        <f>S5&amp;".1"</f>
      </c>
      <c r="J6" s="1494"/>
      <c r="K6" s="1494"/>
      <c r="L6" s="1537" t="s">
        <v>509</v>
      </c>
      <c r="M6" s="1862"/>
      <c r="P6" s="2392">
        <v>1</v>
      </c>
      <c r="Q6" s="2182"/>
      <c r="R6" s="578"/>
      <c r="S6" s="2186">
        <f>$I6</f>
      </c>
      <c r="T6" s="507" t="s">
        <v>510</v>
      </c>
      <c r="U6" s="522"/>
      <c r="V6" s="2376"/>
      <c r="W6" s="2377"/>
      <c r="X6" s="2377"/>
      <c r="Y6" s="2377"/>
      <c r="Z6" s="2377"/>
      <c r="AA6" s="2377"/>
      <c r="AB6" s="2377"/>
      <c r="AC6" s="2378"/>
      <c r="AD6" s="2376"/>
      <c r="AE6" s="2377"/>
      <c r="AF6" s="2377"/>
      <c r="AG6" s="2377"/>
      <c r="AH6" s="2377"/>
      <c r="AI6" s="2377"/>
      <c r="AJ6" s="2377"/>
      <c r="AK6" s="2377"/>
      <c r="AL6" s="2378"/>
      <c r="AM6" s="1484" t="s">
        <v>511</v>
      </c>
      <c r="AO6" s="1851"/>
      <c r="AP6" s="1851" t="str">
        <f>IF(T6="","",T6)</f>
        <v>Схема подключения теплопотребляющей установки к коллектору источника тепловой энергии</v>
      </c>
      <c r="AQ6" s="1851"/>
      <c r="AR6" s="1851"/>
    </row>
    <row customHeight="1" ht="21" hidden="1">
      <c r="A7" s="1494"/>
      <c r="B7" s="1494"/>
      <c r="C7" s="1494"/>
      <c r="D7" s="1494"/>
      <c r="E7" s="2424"/>
      <c r="F7" s="2424"/>
      <c r="G7" s="2424"/>
      <c r="H7" s="2424"/>
      <c r="I7" s="2237"/>
      <c r="J7" s="2253">
        <f>I6&amp;".1"</f>
      </c>
      <c r="K7" s="1494"/>
      <c r="L7" s="1537" t="s">
        <v>512</v>
      </c>
      <c r="M7" s="1862"/>
      <c r="N7" s="1858"/>
      <c r="P7" s="2392"/>
      <c r="Q7" s="2392">
        <v>1</v>
      </c>
      <c r="R7" s="579"/>
      <c r="S7" s="2186">
        <f>$J7</f>
      </c>
      <c r="T7" s="508" t="s">
        <v>513</v>
      </c>
      <c r="U7" s="522"/>
      <c r="V7" s="2376"/>
      <c r="W7" s="2377"/>
      <c r="X7" s="2377"/>
      <c r="Y7" s="2377"/>
      <c r="Z7" s="2377"/>
      <c r="AA7" s="2377"/>
      <c r="AB7" s="2377"/>
      <c r="AC7" s="2378"/>
      <c r="AD7" s="2376"/>
      <c r="AE7" s="2377"/>
      <c r="AF7" s="2377"/>
      <c r="AG7" s="2377"/>
      <c r="AH7" s="2377"/>
      <c r="AI7" s="2377"/>
      <c r="AJ7" s="2377"/>
      <c r="AK7" s="2377"/>
      <c r="AL7" s="2378"/>
      <c r="AM7" s="1484" t="s">
        <v>514</v>
      </c>
      <c r="AO7" s="1851"/>
      <c r="AP7" s="1851" t="str">
        <f>IF(T7="","",T7)</f>
        <v>Группа потребителей</v>
      </c>
      <c r="AQ7" s="1851"/>
      <c r="AR7" s="1851"/>
    </row>
    <row customHeight="1" ht="21" hidden="1">
      <c r="A8" s="1494"/>
      <c r="B8" s="1494"/>
      <c r="C8" s="1494"/>
      <c r="D8" s="1494"/>
      <c r="E8" s="2424"/>
      <c r="F8" s="2424"/>
      <c r="G8" s="2424"/>
      <c r="H8" s="2424"/>
      <c r="I8" s="2237"/>
      <c r="J8" s="2237"/>
      <c r="K8" s="2253">
        <f>J7&amp;".1"</f>
      </c>
      <c r="L8" s="1537" t="s">
        <v>515</v>
      </c>
      <c r="M8" s="1862"/>
      <c r="N8" s="1858"/>
      <c r="O8" s="1858"/>
      <c r="P8" s="2392"/>
      <c r="Q8" s="2392"/>
      <c r="R8" s="579">
        <v>1</v>
      </c>
      <c r="S8" s="2186">
        <f>$K8</f>
      </c>
      <c r="T8" s="1574"/>
      <c r="U8" s="522"/>
      <c r="V8" s="973"/>
      <c r="W8" s="547"/>
      <c r="X8" s="973"/>
      <c r="Y8" s="1483"/>
      <c r="Z8" s="2393"/>
      <c r="AA8" s="2263" t="s">
        <v>63</v>
      </c>
      <c r="AB8" s="2393"/>
      <c r="AC8" s="2263" t="s">
        <v>63</v>
      </c>
      <c r="AD8" s="973"/>
      <c r="AE8" s="547"/>
      <c r="AF8" s="973"/>
      <c r="AG8" s="1483"/>
      <c r="AH8" s="2393"/>
      <c r="AI8" s="2263" t="s">
        <v>63</v>
      </c>
      <c r="AJ8" s="2393"/>
      <c r="AK8" s="2263" t="s">
        <v>63</v>
      </c>
      <c r="AL8" s="547"/>
      <c r="AM8" s="2418" t="s">
        <v>516</v>
      </c>
      <c r="AN8" s="1863">
        <f>STRCHECKDATE(V9:AL9)</f>
      </c>
      <c r="AO8" s="1851"/>
      <c r="AP8" s="1851" t="str">
        <f>IF(T8="","",T8)</f>
        <v/>
      </c>
      <c r="AQ8" s="1851"/>
      <c r="AR8" s="1851"/>
    </row>
    <row customHeight="1" ht="0.75" hidden="1">
      <c r="A9" s="1494"/>
      <c r="B9" s="1494"/>
      <c r="C9" s="1494"/>
      <c r="D9" s="1494"/>
      <c r="E9" s="2424"/>
      <c r="F9" s="2424"/>
      <c r="G9" s="2424"/>
      <c r="H9" s="2424"/>
      <c r="I9" s="2237"/>
      <c r="J9" s="2237"/>
      <c r="K9" s="2253"/>
      <c r="L9" s="1537"/>
      <c r="M9" s="1862"/>
      <c r="N9" s="1858"/>
      <c r="O9" s="1858"/>
      <c r="P9" s="2392"/>
      <c r="Q9" s="2392"/>
      <c r="R9" s="579"/>
      <c r="S9" s="2195"/>
      <c r="T9" s="522"/>
      <c r="U9" s="522"/>
      <c r="V9" s="547"/>
      <c r="W9" s="547"/>
      <c r="X9" s="547"/>
      <c r="Y9" s="550" t="str">
        <f>Z8&amp;"-"&amp;AB8</f>
        <v>-</v>
      </c>
      <c r="Z9" s="2394"/>
      <c r="AA9" s="2263"/>
      <c r="AB9" s="2394"/>
      <c r="AC9" s="2263"/>
      <c r="AD9" s="547"/>
      <c r="AE9" s="547"/>
      <c r="AF9" s="547"/>
      <c r="AG9" s="550" t="str">
        <f>AH8&amp;"-"&amp;AJ8</f>
        <v>-</v>
      </c>
      <c r="AH9" s="2394"/>
      <c r="AI9" s="2263"/>
      <c r="AJ9" s="2394"/>
      <c r="AK9" s="2263"/>
      <c r="AL9" s="547"/>
      <c r="AM9" s="2419"/>
      <c r="AO9" s="1851"/>
      <c r="AP9" s="1851" t="str">
        <f>IF(T9="","",T9)</f>
        <v/>
      </c>
      <c r="AQ9" s="1851"/>
      <c r="AR9" s="1851"/>
    </row>
    <row customHeight="1" ht="15" hidden="1">
      <c r="A10" s="1494"/>
      <c r="B10" s="1494"/>
      <c r="C10" s="1494"/>
      <c r="D10" s="1494"/>
      <c r="E10" s="2424"/>
      <c r="F10" s="2424"/>
      <c r="G10" s="2424"/>
      <c r="H10" s="2424"/>
      <c r="I10" s="2237"/>
      <c r="J10" s="2253"/>
      <c r="K10" s="1494"/>
      <c r="L10" s="1537"/>
      <c r="M10" s="1862"/>
      <c r="N10" s="1858"/>
      <c r="P10" s="2392"/>
      <c r="Q10" s="2392"/>
      <c r="R10" s="578"/>
      <c r="S10" s="1505"/>
      <c r="T10" s="510" t="s">
        <v>517</v>
      </c>
      <c r="U10" s="822"/>
      <c r="V10" s="822"/>
      <c r="W10" s="822"/>
      <c r="X10" s="822"/>
      <c r="Y10" s="822"/>
      <c r="Z10" s="822"/>
      <c r="AA10" s="822"/>
      <c r="AB10" s="822"/>
      <c r="AC10" s="822"/>
      <c r="AD10" s="822"/>
      <c r="AE10" s="822"/>
      <c r="AF10" s="822"/>
      <c r="AG10" s="822"/>
      <c r="AH10" s="822"/>
      <c r="AI10" s="822"/>
      <c r="AJ10" s="822"/>
      <c r="AK10" s="822"/>
      <c r="AL10" s="546"/>
      <c r="AM10" s="2420"/>
      <c r="AO10" s="1851"/>
      <c r="AP10" s="1851" t="str">
        <f>IF(T10="","",T10)</f>
        <v>Добавить вид теплоносителя (параметры теплоносителя)</v>
      </c>
      <c r="AQ10" s="1851"/>
      <c r="AR10" s="1851"/>
    </row>
    <row customHeight="1" ht="15" hidden="1">
      <c r="A11" s="1494"/>
      <c r="B11" s="1494"/>
      <c r="C11" s="1494"/>
      <c r="D11" s="1494"/>
      <c r="E11" s="2424"/>
      <c r="F11" s="2424"/>
      <c r="G11" s="2424"/>
      <c r="H11" s="2424"/>
      <c r="I11" s="2253"/>
      <c r="J11" s="1494"/>
      <c r="K11" s="1494"/>
      <c r="L11" s="1537"/>
      <c r="M11" s="1862"/>
      <c r="P11" s="2392"/>
      <c r="Q11" s="2182"/>
      <c r="R11" s="578"/>
      <c r="S11" s="1505"/>
      <c r="T11" s="509" t="s">
        <v>518</v>
      </c>
      <c r="U11" s="822"/>
      <c r="V11" s="822"/>
      <c r="W11" s="822"/>
      <c r="X11" s="822"/>
      <c r="Y11" s="822"/>
      <c r="Z11" s="822"/>
      <c r="AA11" s="822"/>
      <c r="AB11" s="822"/>
      <c r="AC11" s="588"/>
      <c r="AD11" s="822"/>
      <c r="AE11" s="822"/>
      <c r="AF11" s="822"/>
      <c r="AG11" s="822"/>
      <c r="AH11" s="822"/>
      <c r="AI11" s="822"/>
      <c r="AJ11" s="822"/>
      <c r="AK11" s="588"/>
      <c r="AL11" s="822"/>
      <c r="AM11" s="525"/>
      <c r="AO11" s="1851"/>
      <c r="AP11" s="1851" t="str">
        <f>IF(T11="","",T11)</f>
        <v>Добавить группу потребителей</v>
      </c>
      <c r="AQ11" s="1851"/>
      <c r="AR11" s="1851"/>
    </row>
    <row customHeight="1" ht="14.25" hidden="1">
      <c r="A12" s="1494"/>
      <c r="B12" s="1494"/>
      <c r="C12" s="1494"/>
      <c r="D12" s="1494"/>
      <c r="E12" s="2424"/>
      <c r="F12" s="2424"/>
      <c r="G12" s="2424"/>
      <c r="H12" s="2423"/>
      <c r="I12" s="1494"/>
      <c r="J12" s="1494"/>
      <c r="K12" s="1494"/>
      <c r="L12" s="1537"/>
      <c r="M12" s="1837"/>
      <c r="N12" s="1837"/>
      <c r="O12" s="1862"/>
      <c r="P12" s="582"/>
      <c r="Q12" s="597"/>
      <c r="R12" s="577"/>
      <c r="S12" s="1505"/>
      <c r="T12" s="587" t="s">
        <v>519</v>
      </c>
      <c r="U12" s="822"/>
      <c r="V12" s="822"/>
      <c r="W12" s="822"/>
      <c r="X12" s="822"/>
      <c r="Y12" s="822"/>
      <c r="Z12" s="822"/>
      <c r="AA12" s="822"/>
      <c r="AB12" s="822"/>
      <c r="AC12" s="588"/>
      <c r="AD12" s="822"/>
      <c r="AE12" s="822"/>
      <c r="AF12" s="822"/>
      <c r="AG12" s="822"/>
      <c r="AH12" s="822"/>
      <c r="AI12" s="822"/>
      <c r="AJ12" s="822"/>
      <c r="AK12" s="588"/>
      <c r="AL12" s="822"/>
      <c r="AM12" s="525"/>
      <c r="AO12" s="1851"/>
      <c r="AP12" s="1851" t="str">
        <f>IF(T12="","",T12)</f>
        <v>Добавить схему подключения</v>
      </c>
      <c r="AQ12" s="1851"/>
      <c r="AR12" s="1851"/>
    </row>
    <row s="16654" customFormat="1" customHeight="1" ht="0.75" hidden="1">
      <c r="A13" s="1601"/>
      <c r="B13" s="1601"/>
      <c r="C13" s="1601"/>
      <c r="D13" s="1601"/>
      <c r="E13" s="2424"/>
      <c r="F13" s="2424"/>
      <c r="G13" s="2423"/>
      <c r="H13" s="1601"/>
      <c r="I13" s="1601"/>
      <c r="J13" s="1601"/>
      <c r="K13" s="1601"/>
      <c r="L13" s="1604"/>
      <c r="M13" s="1605"/>
      <c r="N13" s="1605"/>
      <c r="O13" s="573"/>
      <c r="P13" s="1543"/>
      <c r="Q13" s="1544"/>
      <c r="R13" s="1543"/>
      <c r="S13" s="1545"/>
      <c r="T13" s="1546" t="s">
        <v>520</v>
      </c>
      <c r="U13" s="1547"/>
      <c r="V13" s="1547"/>
      <c r="W13" s="1547"/>
      <c r="X13" s="1547"/>
      <c r="Y13" s="1547"/>
      <c r="Z13" s="1547"/>
      <c r="AA13" s="1547"/>
      <c r="AB13" s="1547"/>
      <c r="AC13" s="1547"/>
      <c r="AD13" s="1547"/>
      <c r="AE13" s="1547"/>
      <c r="AF13" s="1547"/>
      <c r="AG13" s="1547"/>
      <c r="AH13" s="1547"/>
      <c r="AI13" s="1547"/>
      <c r="AJ13" s="1547"/>
      <c r="AK13" s="1547"/>
      <c r="AL13" s="1547"/>
      <c r="AM13" s="1547"/>
      <c r="AO13" s="1477"/>
      <c r="AP13" s="1477" t="str">
        <f>IF(T13="","",T13)</f>
        <v>Добавить источник для дифференциации</v>
      </c>
      <c r="AQ13" s="1477"/>
      <c r="AR13" s="1477"/>
    </row>
    <row s="16654" customFormat="1" customHeight="1" ht="0.75" hidden="1">
      <c r="A14" s="1601"/>
      <c r="B14" s="1601"/>
      <c r="C14" s="1601"/>
      <c r="D14" s="1601"/>
      <c r="E14" s="2424"/>
      <c r="F14" s="2423"/>
      <c r="G14" s="1601"/>
      <c r="H14" s="1601"/>
      <c r="I14" s="1601"/>
      <c r="J14" s="1601"/>
      <c r="K14" s="1601"/>
      <c r="L14" s="1604"/>
      <c r="M14" s="1606"/>
      <c r="N14" s="1606"/>
      <c r="O14" s="573"/>
      <c r="P14" s="1543"/>
      <c r="Q14" s="1544"/>
      <c r="R14" s="1543"/>
      <c r="S14" s="1549"/>
      <c r="T14" s="1550" t="s">
        <v>305</v>
      </c>
      <c r="U14" s="1551"/>
      <c r="V14" s="1551"/>
      <c r="W14" s="1551"/>
      <c r="X14" s="1551"/>
      <c r="Y14" s="1551"/>
      <c r="Z14" s="1551"/>
      <c r="AA14" s="1551"/>
      <c r="AB14" s="1551"/>
      <c r="AC14" s="1551"/>
      <c r="AD14" s="1551"/>
      <c r="AE14" s="1551"/>
      <c r="AF14" s="1551"/>
      <c r="AG14" s="1551"/>
      <c r="AH14" s="1551"/>
      <c r="AI14" s="1551"/>
      <c r="AJ14" s="1551"/>
      <c r="AK14" s="1551"/>
      <c r="AL14" s="1551"/>
      <c r="AM14" s="1551"/>
      <c r="AO14" s="1477"/>
      <c r="AP14" s="1477" t="str">
        <f>IF(T14="","",T14)</f>
        <v>Добавить централизованную систему для дифференциации</v>
      </c>
      <c r="AQ14" s="1477"/>
      <c r="AR14" s="1477"/>
    </row>
    <row s="16654" customFormat="1" customHeight="1" ht="0.75" hidden="1">
      <c r="A15" s="1601"/>
      <c r="B15" s="1601"/>
      <c r="C15" s="1601"/>
      <c r="D15" s="1601"/>
      <c r="E15" s="2423"/>
      <c r="F15" s="1601"/>
      <c r="G15" s="1601"/>
      <c r="H15" s="1601"/>
      <c r="I15" s="1601"/>
      <c r="J15" s="1601"/>
      <c r="K15" s="1601"/>
      <c r="L15" s="1604"/>
      <c r="M15" s="1606"/>
      <c r="N15" s="1606"/>
      <c r="O15" s="573"/>
      <c r="P15" s="1543"/>
      <c r="Q15" s="1544"/>
      <c r="R15" s="1543"/>
      <c r="S15" s="1549"/>
      <c r="T15" s="1552" t="s">
        <v>358</v>
      </c>
      <c r="U15" s="1551"/>
      <c r="V15" s="1551"/>
      <c r="W15" s="1551"/>
      <c r="X15" s="1551"/>
      <c r="Y15" s="1551"/>
      <c r="Z15" s="1551"/>
      <c r="AA15" s="1551"/>
      <c r="AB15" s="1551"/>
      <c r="AC15" s="1551"/>
      <c r="AD15" s="1551"/>
      <c r="AE15" s="1551"/>
      <c r="AF15" s="1551"/>
      <c r="AG15" s="1551"/>
      <c r="AH15" s="1551"/>
      <c r="AI15" s="1551"/>
      <c r="AJ15" s="1551"/>
      <c r="AK15" s="1551"/>
      <c r="AL15" s="1551"/>
      <c r="AM15" s="1551"/>
      <c r="AO15" s="1477"/>
      <c r="AP15" s="1477" t="str">
        <f>IF(T15="","",T15)</f>
        <v>Добавить территорию для дифференциации</v>
      </c>
      <c r="AQ15" s="1477"/>
      <c r="AR15" s="1477"/>
    </row>
    <row customHeight="1" ht="14.25" hidden="1"/>
    <row customHeight="1" ht="14.25" hidden="1">
      <c r="AD17" s="1587"/>
      <c r="AE17" s="1587"/>
      <c r="AF17" s="1587"/>
      <c r="AG17" s="1588"/>
      <c r="AH17" s="2386"/>
      <c r="AI17" s="2385" t="s">
        <v>63</v>
      </c>
      <c r="AJ17" s="2386"/>
      <c r="AK17" s="2385" t="s">
        <v>63</v>
      </c>
    </row>
    <row customHeight="1" ht="14.25" hidden="1">
      <c r="AD18" s="1587"/>
      <c r="AE18" s="1587"/>
      <c r="AF18" s="1587"/>
      <c r="AG18" s="550" t="str">
        <f>AH17&amp;"-"&amp;AJ17</f>
        <v>-</v>
      </c>
      <c r="AH18" s="2385"/>
      <c r="AI18" s="2385"/>
      <c r="AJ18" s="2385"/>
      <c r="AK18" s="2385"/>
    </row>
    <row customHeight="1" ht="14.25" hidden="1"/>
    <row s="16661" customFormat="1" customHeight="1" ht="14.25" hidden="1">
      <c r="A20" s="1858"/>
      <c r="B20" s="1858"/>
      <c r="C20" s="1858"/>
      <c r="D20" s="1858"/>
      <c r="E20" s="1858"/>
      <c r="F20" s="1858"/>
      <c r="G20" s="1858"/>
      <c r="H20" s="1858"/>
      <c r="I20" s="1858"/>
      <c r="J20" s="1858"/>
      <c r="K20" s="1858"/>
      <c r="L20" s="2167"/>
      <c r="M20" s="2193"/>
      <c r="N20" s="2193"/>
      <c r="O20" s="1572" t="s">
        <v>521</v>
      </c>
      <c r="P20" s="1589"/>
      <c r="Q20" s="1598"/>
      <c r="R20" s="1598"/>
      <c r="S20" s="951"/>
      <c r="Z20" s="1594"/>
      <c r="AB20" s="1594"/>
      <c r="AH20" s="1594"/>
      <c r="AJ20" s="1594"/>
      <c r="AN20" s="1863"/>
      <c r="AO20" s="1863"/>
      <c r="AP20" s="1863"/>
      <c r="AQ20" s="1863"/>
      <c r="AR20" s="1863"/>
    </row>
    <row s="16661" customFormat="1" customHeight="1" ht="14.25" hidden="1">
      <c r="A21" s="1858"/>
      <c r="B21" s="1858"/>
      <c r="C21" s="1858"/>
      <c r="D21" s="1858"/>
      <c r="E21" s="1858"/>
      <c r="F21" s="1858"/>
      <c r="G21" s="1858"/>
      <c r="H21" s="1858"/>
      <c r="I21" s="1858"/>
      <c r="J21" s="1858"/>
      <c r="K21" s="1858"/>
      <c r="L21" s="2167"/>
      <c r="M21" s="2193"/>
      <c r="N21" s="2193"/>
      <c r="O21" s="2193"/>
      <c r="P21" s="1589"/>
      <c r="Q21" s="1598"/>
      <c r="R21" s="1598"/>
      <c r="S21" s="951"/>
      <c r="AN21" s="1863"/>
      <c r="AO21" s="1863"/>
      <c r="AP21" s="1863"/>
      <c r="AQ21" s="1863"/>
      <c r="AR21" s="1863"/>
    </row>
    <row s="16661" customFormat="1" customHeight="1" ht="14.25" hidden="1">
      <c r="A22" s="1858"/>
      <c r="B22" s="1858"/>
      <c r="C22" s="1858"/>
      <c r="D22" s="1858"/>
      <c r="E22" s="1858"/>
      <c r="F22" s="1858"/>
      <c r="G22" s="1858"/>
      <c r="H22" s="1858"/>
      <c r="I22" s="1858"/>
      <c r="J22" s="1858"/>
      <c r="K22" s="1858"/>
      <c r="L22" s="2167"/>
      <c r="M22" s="2193"/>
      <c r="N22" s="2193"/>
      <c r="O22" s="1537" t="s">
        <v>522</v>
      </c>
      <c r="P22" s="1589"/>
      <c r="Q22" s="1598"/>
      <c r="R22" s="1598"/>
      <c r="S22" s="951"/>
      <c r="T22" s="1593" t="s">
        <v>523</v>
      </c>
      <c r="AA22" s="817" t="s">
        <v>524</v>
      </c>
      <c r="AC22" s="817" t="s">
        <v>525</v>
      </c>
      <c r="AD22" s="1593" t="s">
        <v>523</v>
      </c>
      <c r="AI22" s="817" t="s">
        <v>526</v>
      </c>
      <c r="AK22" s="817" t="s">
        <v>525</v>
      </c>
      <c r="AN22" s="1863"/>
      <c r="AO22" s="1863"/>
      <c r="AP22" s="1863"/>
      <c r="AQ22" s="1863"/>
      <c r="AR22" s="1863"/>
    </row>
    <row customHeight="1" ht="14.25" hidden="1">
      <c r="O23" s="1537"/>
    </row>
    <row customHeight="1" ht="14.25" hidden="1">
      <c r="O24" s="1537"/>
    </row>
    <row customHeight="1" ht="14.25">
      <c r="Q25" s="598"/>
      <c r="R25" s="598"/>
      <c r="S25" s="1502"/>
      <c r="T25" s="679"/>
      <c r="U25" s="679"/>
      <c r="V25" s="1862"/>
      <c r="W25" s="1862"/>
      <c r="X25" s="1862"/>
      <c r="Y25" s="1862"/>
      <c r="Z25" s="1862"/>
      <c r="AA25" s="1862"/>
      <c r="AB25" s="1862"/>
      <c r="AC25" s="1862"/>
      <c r="AD25" s="1862"/>
      <c r="AE25" s="1862"/>
      <c r="AF25" s="1862"/>
      <c r="AG25" s="1862"/>
      <c r="AH25" s="1862"/>
      <c r="AI25" s="1862"/>
      <c r="AJ25" s="1862"/>
      <c r="AK25" s="1862"/>
    </row>
    <row customHeight="1" ht="14.25">
      <c r="Q26" s="598"/>
      <c r="R26" s="598"/>
      <c r="S26" s="24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1"/>
      <c r="U26" s="2421"/>
      <c r="V26" s="2421"/>
      <c r="W26" s="2421"/>
      <c r="X26" s="2421"/>
      <c r="Y26" s="2421"/>
      <c r="Z26" s="2421"/>
      <c r="AA26" s="2421"/>
      <c r="AB26" s="2421"/>
      <c r="AC26" s="2421"/>
      <c r="AD26" s="2421"/>
      <c r="AE26" s="2421"/>
      <c r="AF26" s="2421"/>
      <c r="AG26" s="2421"/>
      <c r="AH26" s="2421"/>
      <c r="AI26" s="2421"/>
      <c r="AJ26" s="2421"/>
      <c r="AK26" s="1469"/>
    </row>
    <row customHeight="1" ht="14.25">
      <c r="Q27" s="598"/>
      <c r="R27" s="598"/>
      <c r="S27" s="2422" t="str">
        <f>IF(org=0,"Не определено",org)</f>
        <v>КГУП "Примтеплоэнерго"</v>
      </c>
      <c r="T27" s="2422"/>
      <c r="U27" s="2422"/>
      <c r="V27" s="2422"/>
      <c r="W27" s="2422"/>
      <c r="X27" s="2422"/>
      <c r="Y27" s="2422"/>
      <c r="Z27" s="2422"/>
      <c r="AA27" s="2422"/>
      <c r="AB27" s="2422"/>
      <c r="AC27" s="2422"/>
      <c r="AD27" s="2422"/>
      <c r="AE27" s="2422"/>
      <c r="AF27" s="2422"/>
      <c r="AG27" s="2422"/>
      <c r="AH27" s="2422"/>
      <c r="AI27" s="2422"/>
      <c r="AJ27" s="2422"/>
      <c r="AK27" s="1469"/>
    </row>
    <row customHeight="1" ht="14.25" hidden="1">
      <c r="Q28" s="598"/>
      <c r="R28" s="598"/>
      <c r="S28" s="1502"/>
      <c r="T28" s="679"/>
      <c r="U28" s="679"/>
      <c r="V28" s="544"/>
      <c r="W28" s="544"/>
      <c r="X28" s="544"/>
      <c r="Y28" s="544"/>
      <c r="Z28" s="544"/>
      <c r="AA28" s="544"/>
      <c r="AB28" s="544"/>
      <c r="AC28" s="544"/>
      <c r="AD28" s="544"/>
      <c r="AE28" s="544"/>
      <c r="AF28" s="544"/>
      <c r="AG28" s="544"/>
      <c r="AH28" s="544"/>
      <c r="AI28" s="544"/>
      <c r="AJ28" s="544"/>
      <c r="AK28" s="544"/>
      <c r="AL28" s="1862"/>
    </row>
    <row s="16563" customFormat="1" customHeight="1" ht="25.5" hidden="1">
      <c r="A29" s="1474"/>
      <c r="B29" s="1474"/>
      <c r="C29" s="1474"/>
      <c r="D29" s="1474"/>
      <c r="E29" s="1474"/>
      <c r="F29" s="1474"/>
      <c r="G29" s="1474"/>
      <c r="H29" s="1474"/>
      <c r="I29" s="1474"/>
      <c r="J29" s="1474"/>
      <c r="K29" s="1474"/>
      <c r="L29" s="1607"/>
      <c r="M29" s="1474"/>
      <c r="N29" s="1474"/>
      <c r="O29" s="1474"/>
      <c r="S29" s="2379" t="s">
        <v>38</v>
      </c>
      <c r="T29" s="2379"/>
      <c r="U29" s="1599"/>
      <c r="V29" s="2381" t="str">
        <f>IF(TITLE_NAME_OR_PR_CHANGE="",IF(TITLE_NAME_OR_PR="","",TITLE_NAME_OR_PR),TITLE_NAME_OR_PR_CHANGE)</f>
        <v/>
      </c>
      <c r="W29" s="2381"/>
      <c r="X29" s="2381"/>
      <c r="Y29" s="2381"/>
      <c r="Z29" s="2381"/>
      <c r="AA29" s="2381"/>
      <c r="AB29" s="2381"/>
      <c r="AC29" s="1862"/>
      <c r="AD29" s="2381" t="str">
        <f>IF(TITLE_NAME_OR_PR_CHANGE="",IF(TITLE_NAME_OR_PR="","",TITLE_NAME_OR_PR),TITLE_NAME_OR_PR_CHANGE)</f>
        <v/>
      </c>
      <c r="AE29" s="2381"/>
      <c r="AF29" s="2381"/>
      <c r="AG29" s="2381"/>
      <c r="AH29" s="2381"/>
      <c r="AI29" s="2381"/>
      <c r="AJ29" s="2381"/>
      <c r="AK29" s="1862"/>
      <c r="AL29" s="1862"/>
      <c r="AM29" s="502"/>
      <c r="AN29" s="590"/>
      <c r="AO29" s="590"/>
      <c r="AP29" s="590"/>
      <c r="AQ29" s="590"/>
      <c r="AR29" s="590"/>
    </row>
    <row s="16563" customFormat="1" customHeight="1" ht="18.75" hidden="1">
      <c r="A30" s="1474"/>
      <c r="B30" s="1474"/>
      <c r="C30" s="1474"/>
      <c r="D30" s="1474"/>
      <c r="E30" s="1474"/>
      <c r="F30" s="1474"/>
      <c r="G30" s="1474"/>
      <c r="H30" s="1474"/>
      <c r="I30" s="1474"/>
      <c r="J30" s="1474"/>
      <c r="K30" s="1474"/>
      <c r="L30" s="1607"/>
      <c r="M30" s="1474"/>
      <c r="N30" s="1474"/>
      <c r="O30" s="1474"/>
      <c r="S30" s="2379" t="s">
        <v>527</v>
      </c>
      <c r="T30" s="2379"/>
      <c r="U30" s="1599"/>
      <c r="V30" s="2380" t="str">
        <f>IF(TITLE_DATE_PR_CHANGE="",IF(TITLE_DATE_PR="","",TITLE_DATE_PR),TITLE_DATE_PR_CHANGE)</f>
        <v>45407.47206018519</v>
      </c>
      <c r="W30" s="2380"/>
      <c r="X30" s="2380"/>
      <c r="Y30" s="2380"/>
      <c r="Z30" s="2380"/>
      <c r="AA30" s="2380"/>
      <c r="AB30" s="2380"/>
      <c r="AC30" s="1862"/>
      <c r="AD30" s="2380" t="str">
        <f>IF(TITLE_DATE_PR_CHANGE="",IF(TITLE_DATE_PR="","",TITLE_DATE_PR),TITLE_DATE_PR_CHANGE)</f>
        <v>45407.47206018519</v>
      </c>
      <c r="AE30" s="2380"/>
      <c r="AF30" s="2380"/>
      <c r="AG30" s="2380"/>
      <c r="AH30" s="2380"/>
      <c r="AI30" s="2380"/>
      <c r="AJ30" s="2380"/>
      <c r="AK30" s="1862"/>
      <c r="AL30" s="1862"/>
      <c r="AM30" s="502"/>
      <c r="AN30" s="590"/>
      <c r="AO30" s="590"/>
      <c r="AP30" s="590"/>
      <c r="AQ30" s="590"/>
      <c r="AR30" s="590"/>
    </row>
    <row s="16563" customFormat="1" customHeight="1" ht="18.75" hidden="1">
      <c r="A31" s="1474"/>
      <c r="B31" s="1474"/>
      <c r="C31" s="1474"/>
      <c r="D31" s="1474"/>
      <c r="E31" s="1474"/>
      <c r="F31" s="1474"/>
      <c r="G31" s="1474"/>
      <c r="H31" s="1474"/>
      <c r="I31" s="1474"/>
      <c r="J31" s="1474"/>
      <c r="K31" s="1474"/>
      <c r="L31" s="1607"/>
      <c r="M31" s="1474"/>
      <c r="N31" s="1474"/>
      <c r="O31" s="1474"/>
      <c r="S31" s="2379" t="s">
        <v>528</v>
      </c>
      <c r="T31" s="2379"/>
      <c r="U31" s="1599"/>
      <c r="V31" s="2381" t="str">
        <f>IF(TITLE_NUMBER_PR_CHANGE="",IF(TITLE_NUMBER_PR="","",TITLE_NUMBER_PR),TITLE_NUMBER_PR_CHANGE)</f>
        <v>27-2067</v>
      </c>
      <c r="W31" s="2381"/>
      <c r="X31" s="2381"/>
      <c r="Y31" s="2381"/>
      <c r="Z31" s="2381"/>
      <c r="AA31" s="2381"/>
      <c r="AB31" s="2381"/>
      <c r="AC31" s="1862"/>
      <c r="AD31" s="2381" t="str">
        <f>IF(TITLE_NUMBER_PR_CHANGE="",IF(TITLE_NUMBER_PR="","",TITLE_NUMBER_PR),TITLE_NUMBER_PR_CHANGE)</f>
        <v>27-2067</v>
      </c>
      <c r="AE31" s="2381"/>
      <c r="AF31" s="2381"/>
      <c r="AG31" s="2381"/>
      <c r="AH31" s="2381"/>
      <c r="AI31" s="2381"/>
      <c r="AJ31" s="2381"/>
      <c r="AK31" s="1862"/>
      <c r="AL31" s="1862"/>
      <c r="AM31" s="502"/>
      <c r="AN31" s="590"/>
      <c r="AO31" s="590"/>
      <c r="AP31" s="590"/>
      <c r="AQ31" s="590"/>
      <c r="AR31" s="590"/>
    </row>
    <row s="16563" customFormat="1" customHeight="1" ht="18.75" hidden="1">
      <c r="A32" s="1474"/>
      <c r="B32" s="1474"/>
      <c r="C32" s="1474"/>
      <c r="D32" s="1474"/>
      <c r="E32" s="1474"/>
      <c r="F32" s="1474"/>
      <c r="G32" s="1474"/>
      <c r="H32" s="1474"/>
      <c r="I32" s="1474"/>
      <c r="J32" s="1474"/>
      <c r="K32" s="1474"/>
      <c r="L32" s="1607"/>
      <c r="M32" s="1474"/>
      <c r="N32" s="1474"/>
      <c r="O32" s="1474"/>
      <c r="S32" s="2379" t="s">
        <v>39</v>
      </c>
      <c r="T32" s="2379"/>
      <c r="U32" s="1599"/>
      <c r="V32" s="2381" t="str">
        <f>IF(TITLE_IST_PUB_CHANGE="",IF(TITLE_IST_PUB="","",TITLE_IST_PUB),TITLE_IST_PUB_CHANGE)</f>
        <v/>
      </c>
      <c r="W32" s="2381"/>
      <c r="X32" s="2381"/>
      <c r="Y32" s="2381"/>
      <c r="Z32" s="2381"/>
      <c r="AA32" s="2381"/>
      <c r="AB32" s="2381"/>
      <c r="AC32" s="1862"/>
      <c r="AD32" s="2381" t="str">
        <f>IF(TITLE_IST_PUB_CHANGE="",IF(TITLE_IST_PUB="","",TITLE_IST_PUB),TITLE_IST_PUB_CHANGE)</f>
        <v/>
      </c>
      <c r="AE32" s="2381"/>
      <c r="AF32" s="2381"/>
      <c r="AG32" s="2381"/>
      <c r="AH32" s="2381"/>
      <c r="AI32" s="2381"/>
      <c r="AJ32" s="2381"/>
      <c r="AK32" s="1862"/>
      <c r="AL32" s="1862"/>
      <c r="AM32" s="502"/>
      <c r="AN32" s="590"/>
      <c r="AO32" s="590"/>
      <c r="AP32" s="590"/>
      <c r="AQ32" s="590"/>
      <c r="AR32" s="590"/>
    </row>
    <row customHeight="1" ht="14.25" hidden="1">
      <c r="Q33" s="598"/>
      <c r="R33" s="598"/>
      <c r="S33" s="1502"/>
      <c r="T33" s="679"/>
      <c r="U33" s="679"/>
      <c r="V33" s="544"/>
      <c r="W33" s="544"/>
      <c r="X33" s="544"/>
      <c r="Y33" s="544"/>
      <c r="Z33" s="544"/>
      <c r="AA33" s="544"/>
      <c r="AB33" s="544"/>
      <c r="AC33" s="544"/>
      <c r="AD33" s="544"/>
      <c r="AE33" s="544"/>
      <c r="AF33" s="544"/>
      <c r="AG33" s="544"/>
      <c r="AH33" s="544"/>
      <c r="AI33" s="544"/>
      <c r="AJ33" s="544"/>
      <c r="AK33" s="544"/>
      <c r="AL33" s="1862"/>
    </row>
    <row s="16563" customFormat="1" customHeight="1" ht="18.75" hidden="1">
      <c r="A34" s="1474"/>
      <c r="B34" s="1474"/>
      <c r="C34" s="1474"/>
      <c r="D34" s="1474"/>
      <c r="E34" s="1474"/>
      <c r="F34" s="1474"/>
      <c r="G34" s="1474"/>
      <c r="H34" s="1474"/>
      <c r="I34" s="1474"/>
      <c r="J34" s="1474"/>
      <c r="K34" s="1474"/>
      <c r="L34" s="1607"/>
      <c r="M34" s="1474"/>
      <c r="N34" s="1474"/>
      <c r="O34" s="1474"/>
      <c r="S34" s="2379" t="s">
        <v>529</v>
      </c>
      <c r="T34" s="2379"/>
      <c r="U34" s="1599"/>
      <c r="V34" s="2380" t="str">
        <f>IF(TITLE_DATE_PR_CHANGE="",IF(TITLE_DATE_PR="","",TITLE_DATE_PR),TITLE_DATE_PR_CHANGE)</f>
        <v>45407.47206018519</v>
      </c>
      <c r="W34" s="2380"/>
      <c r="X34" s="2380"/>
      <c r="Y34" s="2380"/>
      <c r="Z34" s="2380"/>
      <c r="AA34" s="2380"/>
      <c r="AB34" s="2380"/>
      <c r="AC34" s="1862"/>
      <c r="AD34" s="2380" t="str">
        <f>IF(TITLE_DATE_PR_CHANGE="",IF(TITLE_DATE_PR="","",TITLE_DATE_PR),TITLE_DATE_PR_CHANGE)</f>
        <v>45407.47206018519</v>
      </c>
      <c r="AE34" s="2380"/>
      <c r="AF34" s="2380"/>
      <c r="AG34" s="2380"/>
      <c r="AH34" s="2380"/>
      <c r="AI34" s="2380"/>
      <c r="AJ34" s="2380"/>
      <c r="AK34" s="1862"/>
      <c r="AL34" s="1862"/>
      <c r="AM34" s="502"/>
      <c r="AN34" s="590"/>
      <c r="AO34" s="590"/>
      <c r="AP34" s="590"/>
      <c r="AQ34" s="590"/>
      <c r="AR34" s="590"/>
    </row>
    <row s="16563" customFormat="1" customHeight="1" ht="18.75" hidden="1">
      <c r="A35" s="1474"/>
      <c r="B35" s="1474"/>
      <c r="C35" s="1474"/>
      <c r="D35" s="1474"/>
      <c r="E35" s="1474"/>
      <c r="F35" s="1474"/>
      <c r="G35" s="1474"/>
      <c r="H35" s="1474"/>
      <c r="I35" s="1474"/>
      <c r="J35" s="1474"/>
      <c r="K35" s="1474"/>
      <c r="L35" s="1607"/>
      <c r="M35" s="1474"/>
      <c r="N35" s="1474"/>
      <c r="O35" s="1474"/>
      <c r="S35" s="2379" t="s">
        <v>530</v>
      </c>
      <c r="T35" s="2379"/>
      <c r="U35" s="1599"/>
      <c r="V35" s="2381" t="str">
        <f>IF(TITLE_NUMBER_PR_CHANGE="",IF(TITLE_NUMBER_PR="","",TITLE_NUMBER_PR),TITLE_NUMBER_PR_CHANGE)</f>
        <v>27-2067</v>
      </c>
      <c r="W35" s="2381"/>
      <c r="X35" s="2381"/>
      <c r="Y35" s="2381"/>
      <c r="Z35" s="2381"/>
      <c r="AA35" s="2381"/>
      <c r="AB35" s="2381"/>
      <c r="AC35" s="1862"/>
      <c r="AD35" s="2381" t="str">
        <f>IF(TITLE_NUMBER_PR_CHANGE="",IF(TITLE_NUMBER_PR="","",TITLE_NUMBER_PR),TITLE_NUMBER_PR_CHANGE)</f>
        <v>27-2067</v>
      </c>
      <c r="AE35" s="2381"/>
      <c r="AF35" s="2381"/>
      <c r="AG35" s="2381"/>
      <c r="AH35" s="2381"/>
      <c r="AI35" s="2381"/>
      <c r="AJ35" s="2381"/>
      <c r="AK35" s="1862"/>
      <c r="AL35" s="1862"/>
      <c r="AM35" s="502"/>
      <c r="AN35" s="590"/>
      <c r="AO35" s="590"/>
      <c r="AP35" s="590"/>
      <c r="AQ35" s="590"/>
      <c r="AR35" s="590"/>
    </row>
    <row s="16563" customFormat="1" customHeight="1" ht="0">
      <c r="A36" s="1474"/>
      <c r="B36" s="1474"/>
      <c r="C36" s="1474"/>
      <c r="D36" s="1474"/>
      <c r="E36" s="1474"/>
      <c r="F36" s="1474"/>
      <c r="G36" s="1474"/>
      <c r="H36" s="1474"/>
      <c r="I36" s="1474"/>
      <c r="J36" s="1474"/>
      <c r="K36" s="1474"/>
      <c r="L36" s="1607"/>
      <c r="M36" s="1474"/>
      <c r="N36" s="1474"/>
      <c r="O36" s="1474"/>
      <c r="S36" s="1862"/>
      <c r="T36" s="1862"/>
      <c r="U36" s="2198"/>
      <c r="V36" s="1862"/>
      <c r="W36" s="1862"/>
      <c r="X36" s="1862"/>
      <c r="Y36" s="1862"/>
      <c r="Z36" s="1862"/>
      <c r="AA36" s="1862"/>
      <c r="AB36" s="1862"/>
      <c r="AC36" s="1869" t="s">
        <v>531</v>
      </c>
      <c r="AD36" s="1862"/>
      <c r="AE36" s="1862"/>
      <c r="AF36" s="1862"/>
      <c r="AG36" s="1862"/>
      <c r="AH36" s="1862"/>
      <c r="AI36" s="1862"/>
      <c r="AJ36" s="1862"/>
      <c r="AK36" s="1869" t="s">
        <v>531</v>
      </c>
      <c r="AN36" s="590"/>
      <c r="AO36" s="590"/>
      <c r="AP36" s="590"/>
      <c r="AQ36" s="590"/>
      <c r="AR36" s="590"/>
    </row>
    <row customHeight="1" ht="14.25">
      <c r="Q37" s="598"/>
      <c r="R37" s="598"/>
      <c r="S37" s="1502"/>
      <c r="T37" s="679"/>
      <c r="U37" s="1470"/>
      <c r="V37" s="2405"/>
      <c r="W37" s="2405"/>
      <c r="X37" s="2405"/>
      <c r="Y37" s="2405"/>
      <c r="Z37" s="2405"/>
      <c r="AA37" s="2405"/>
      <c r="AB37" s="2405"/>
      <c r="AC37" s="2405"/>
      <c r="AD37" s="2405"/>
      <c r="AE37" s="2405"/>
      <c r="AF37" s="2405"/>
      <c r="AG37" s="2405"/>
      <c r="AH37" s="2405"/>
      <c r="AI37" s="2405"/>
      <c r="AJ37" s="2405"/>
      <c r="AK37" s="2405"/>
    </row>
    <row customHeight="1" ht="14.25">
      <c r="Q38" s="598"/>
      <c r="R38" s="598"/>
      <c r="S38" s="2253" t="s">
        <v>406</v>
      </c>
      <c r="T38" s="2253"/>
      <c r="U38" s="2253"/>
      <c r="V38" s="2253"/>
      <c r="W38" s="2253"/>
      <c r="X38" s="2253"/>
      <c r="Y38" s="2253"/>
      <c r="Z38" s="2253"/>
      <c r="AA38" s="2253"/>
      <c r="AB38" s="2253"/>
      <c r="AC38" s="2253"/>
      <c r="AD38" s="2253"/>
      <c r="AE38" s="2253"/>
      <c r="AF38" s="2253"/>
      <c r="AG38" s="2253"/>
      <c r="AH38" s="2253"/>
      <c r="AI38" s="2253"/>
      <c r="AJ38" s="2253"/>
      <c r="AK38" s="2253"/>
      <c r="AL38" s="2253"/>
      <c r="AM38" s="2253" t="s">
        <v>407</v>
      </c>
    </row>
    <row customHeight="1" ht="14.25">
      <c r="Q39" s="598"/>
      <c r="R39" s="598"/>
      <c r="S39" s="2406" t="s">
        <v>84</v>
      </c>
      <c r="T39" s="2343" t="s">
        <v>532</v>
      </c>
      <c r="U39" s="559"/>
      <c r="V39" s="2407" t="s">
        <v>533</v>
      </c>
      <c r="W39" s="2408"/>
      <c r="X39" s="2408"/>
      <c r="Y39" s="2408"/>
      <c r="Z39" s="2408"/>
      <c r="AA39" s="2408"/>
      <c r="AB39" s="2409"/>
      <c r="AC39" s="2410" t="s">
        <v>534</v>
      </c>
      <c r="AD39" s="2407" t="s">
        <v>533</v>
      </c>
      <c r="AE39" s="2408"/>
      <c r="AF39" s="2408"/>
      <c r="AG39" s="2408"/>
      <c r="AH39" s="2408"/>
      <c r="AI39" s="2408"/>
      <c r="AJ39" s="2409"/>
      <c r="AK39" s="2410" t="s">
        <v>535</v>
      </c>
      <c r="AL39" s="2413" t="s">
        <v>536</v>
      </c>
      <c r="AM39" s="2253"/>
    </row>
    <row customHeight="1" ht="33.75">
      <c r="Q40" s="598"/>
      <c r="R40" s="598"/>
      <c r="S40" s="2406"/>
      <c r="T40" s="2343"/>
      <c r="U40" s="1254"/>
      <c r="V40" s="2416" t="s">
        <v>537</v>
      </c>
      <c r="W40" s="2397" t="s">
        <v>538</v>
      </c>
      <c r="X40" s="2399" t="s">
        <v>539</v>
      </c>
      <c r="Y40" s="2401"/>
      <c r="Z40" s="2399" t="s">
        <v>552</v>
      </c>
      <c r="AA40" s="2400"/>
      <c r="AB40" s="2401"/>
      <c r="AC40" s="2411"/>
      <c r="AD40" s="2416" t="s">
        <v>537</v>
      </c>
      <c r="AE40" s="2397" t="s">
        <v>538</v>
      </c>
      <c r="AF40" s="2399" t="s">
        <v>539</v>
      </c>
      <c r="AG40" s="2401"/>
      <c r="AH40" s="2399" t="s">
        <v>540</v>
      </c>
      <c r="AI40" s="2400"/>
      <c r="AJ40" s="2401"/>
      <c r="AK40" s="2411"/>
      <c r="AL40" s="2414"/>
      <c r="AM40" s="2253"/>
    </row>
    <row customHeight="1" ht="33.75">
      <c r="A41" s="1493"/>
      <c r="B41" s="1493" t="s">
        <v>191</v>
      </c>
      <c r="C41" s="1493" t="s">
        <v>192</v>
      </c>
      <c r="D41" s="1493" t="s">
        <v>193</v>
      </c>
      <c r="E41" s="1537" t="s">
        <v>541</v>
      </c>
      <c r="F41" s="1537" t="s">
        <v>542</v>
      </c>
      <c r="G41" s="1537" t="s">
        <v>543</v>
      </c>
      <c r="H41" s="1537" t="s">
        <v>544</v>
      </c>
      <c r="I41" s="1537" t="s">
        <v>545</v>
      </c>
      <c r="J41" s="1537" t="s">
        <v>546</v>
      </c>
      <c r="K41" s="1537" t="s">
        <v>547</v>
      </c>
      <c r="L41" s="1537" t="s">
        <v>522</v>
      </c>
      <c r="Q41" s="598"/>
      <c r="R41" s="598"/>
      <c r="S41" s="2406"/>
      <c r="T41" s="2343"/>
      <c r="U41" s="524"/>
      <c r="V41" s="2417"/>
      <c r="W41" s="2398"/>
      <c r="X41" s="2166" t="s">
        <v>548</v>
      </c>
      <c r="Y41" s="2166" t="s">
        <v>549</v>
      </c>
      <c r="Z41" s="2166" t="s">
        <v>550</v>
      </c>
      <c r="AA41" s="2402" t="s">
        <v>551</v>
      </c>
      <c r="AB41" s="2403"/>
      <c r="AC41" s="2412"/>
      <c r="AD41" s="2417"/>
      <c r="AE41" s="2398"/>
      <c r="AF41" s="2166" t="s">
        <v>548</v>
      </c>
      <c r="AG41" s="2166" t="s">
        <v>549</v>
      </c>
      <c r="AH41" s="2166" t="s">
        <v>550</v>
      </c>
      <c r="AI41" s="2402" t="s">
        <v>551</v>
      </c>
      <c r="AJ41" s="2403"/>
      <c r="AK41" s="2412"/>
      <c r="AL41" s="2415"/>
      <c r="AM41" s="2253"/>
    </row>
    <row s="16671" customFormat="1" customHeight="1" ht="11.25" hidden="1">
      <c r="A42" s="1493"/>
      <c r="B42" s="1493"/>
      <c r="C42" s="1493"/>
      <c r="D42" s="1493"/>
      <c r="E42" s="1493"/>
      <c r="F42" s="1493"/>
      <c r="G42" s="1493"/>
      <c r="H42" s="1493"/>
      <c r="I42" s="1493"/>
      <c r="J42" s="1493"/>
      <c r="K42" s="1493"/>
      <c r="L42" s="1537"/>
      <c r="M42" s="2193"/>
      <c r="N42" s="2193"/>
      <c r="O42" s="2193"/>
      <c r="P42" s="1472"/>
      <c r="Q42" s="1473"/>
      <c r="R42" s="1480">
        <v>1</v>
      </c>
      <c r="S42" s="1504" t="s">
        <v>168</v>
      </c>
      <c r="T42" s="1481" t="s">
        <v>99</v>
      </c>
      <c r="U42" s="1471" t="str">
        <f>OFFSET(U42,0,-1)</f>
        <v>2</v>
      </c>
      <c r="V42" s="2184">
        <f>OFFSET(V42,0,-1)+1</f>
        <v>3</v>
      </c>
      <c r="W42" s="2184"/>
      <c r="X42" s="2184">
        <f>OFFSET(X42,0,-1)+1</f>
        <v>1</v>
      </c>
      <c r="Y42" s="2184">
        <f>OFFSET(Y42,0,-1)+1</f>
        <v>2</v>
      </c>
      <c r="Z42" s="2184">
        <f>OFFSET(Z42,0,-1)+1</f>
        <v>3</v>
      </c>
      <c r="AA42" s="2404">
        <f>OFFSET(AA42,0,-1)+1</f>
        <v>4</v>
      </c>
      <c r="AB42" s="2404"/>
      <c r="AC42" s="2184">
        <f>OFFSET(AC42,0,-2)+1</f>
        <v>5</v>
      </c>
      <c r="AD42" s="2184">
        <f>OFFSET(AD42,0,-1)+1</f>
        <v>6</v>
      </c>
      <c r="AE42" s="2184"/>
      <c r="AF42" s="2184">
        <f>OFFSET(AF42,0,-1)+1</f>
        <v>1</v>
      </c>
      <c r="AG42" s="2184">
        <f>OFFSET(AG42,0,-1)+1</f>
        <v>2</v>
      </c>
      <c r="AH42" s="2184">
        <f>OFFSET(AH42,0,-1)+1</f>
        <v>3</v>
      </c>
      <c r="AI42" s="2404">
        <f>OFFSET(AI42,0,-1)+1</f>
        <v>4</v>
      </c>
      <c r="AJ42" s="2404"/>
      <c r="AK42" s="2184">
        <f>OFFSET(AK42,0,-2)+1</f>
        <v>5</v>
      </c>
      <c r="AL42" s="1471">
        <f>OFFSET(AL42,0,-1)</f>
        <v>5</v>
      </c>
      <c r="AM42" s="2184">
        <f>OFFSET(AM42,0,-1)+1</f>
        <v>6</v>
      </c>
      <c r="AN42" s="1863"/>
      <c r="AO42" s="1863"/>
      <c r="AP42" s="1863"/>
      <c r="AQ42" s="1863"/>
      <c r="AR42" s="1863"/>
    </row>
    <row customHeight="1" ht="21">
      <c r="A43" s="1494" t="s">
        <v>260</v>
      </c>
      <c r="B43" s="1494"/>
      <c r="C43" s="1494"/>
      <c r="D43" s="1494"/>
      <c r="E43" s="2423">
        <v>1</v>
      </c>
      <c r="F43" s="1494"/>
      <c r="G43" s="1494"/>
      <c r="H43" s="1494"/>
      <c r="I43" s="1494"/>
      <c r="J43" s="1494"/>
      <c r="K43" s="1494"/>
      <c r="L43" s="1537"/>
      <c r="M43" s="1837"/>
      <c r="N43" s="1837"/>
      <c r="O43" s="1837"/>
      <c r="P43" s="1817"/>
      <c r="Q43" s="582"/>
      <c r="R43" s="577"/>
      <c r="S43" s="2186">
        <f>INDEX(PT_DIFFERENTIATION_NUM_NTAR,MATCH(A43,PT_DIFFERENTIATION_NTAR_ID,0))</f>
        <v>0</v>
      </c>
      <c r="T43" s="1752" t="s">
        <v>179</v>
      </c>
      <c r="U43" s="522"/>
      <c r="V43" s="2382"/>
      <c r="W43" s="2383"/>
      <c r="X43" s="2383"/>
      <c r="Y43" s="2383"/>
      <c r="Z43" s="2383"/>
      <c r="AA43" s="2383"/>
      <c r="AB43" s="2383"/>
      <c r="AC43" s="2384"/>
      <c r="AD43" s="2382" t="str">
        <f>INDEX(PT_DIFFERENTIATION_NTAR,MATCH(A43,PT_DIFFERENTIATION_NTAR_ID,0))</f>
        <v/>
      </c>
      <c r="AE43" s="2383"/>
      <c r="AF43" s="2383"/>
      <c r="AG43" s="2383"/>
      <c r="AH43" s="2383"/>
      <c r="AI43" s="2383"/>
      <c r="AJ43" s="2383"/>
      <c r="AK43" s="2383"/>
      <c r="AL43" s="2384"/>
      <c r="AM43" s="14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row>
    <row customHeight="1" ht="21">
      <c r="A44" s="1494" t="s">
        <v>260</v>
      </c>
      <c r="B44" s="1494" t="s">
        <v>261</v>
      </c>
      <c r="C44" s="1494"/>
      <c r="D44" s="1494"/>
      <c r="E44" s="2424"/>
      <c r="F44" s="2423">
        <v>1</v>
      </c>
      <c r="G44" s="1494"/>
      <c r="H44" s="1494"/>
      <c r="I44" s="1494"/>
      <c r="J44" s="1494"/>
      <c r="K44" s="1494"/>
      <c r="L44" s="1537"/>
      <c r="M44" s="1837"/>
      <c r="N44" s="1837"/>
      <c r="O44" s="1837"/>
      <c r="P44" s="2168"/>
      <c r="Q44" s="574"/>
      <c r="R44" s="575"/>
      <c r="S44" s="2186" t="str">
        <f>INDEX(PT_DIFFERENTIATION_NUM_TER,MATCH(B44,PT_DIFFERENTIATION_TER_ID,0))</f>
        <v>.</v>
      </c>
      <c r="T44" s="1749" t="s">
        <v>503</v>
      </c>
      <c r="U44" s="522"/>
      <c r="V44" s="2382"/>
      <c r="W44" s="2383"/>
      <c r="X44" s="2383"/>
      <c r="Y44" s="2383"/>
      <c r="Z44" s="2383"/>
      <c r="AA44" s="2383"/>
      <c r="AB44" s="2383"/>
      <c r="AC44" s="2384"/>
      <c r="AD44" s="2382" t="str">
        <f>INDEX(PT_DIFFERENTIATION_TER,MATCH(B44,PT_DIFFERENTIATION_TER_ID,0))</f>
        <v/>
      </c>
      <c r="AE44" s="2383"/>
      <c r="AF44" s="2383"/>
      <c r="AG44" s="2383"/>
      <c r="AH44" s="2383"/>
      <c r="AI44" s="2383"/>
      <c r="AJ44" s="2383"/>
      <c r="AK44" s="2383"/>
      <c r="AL44" s="2384"/>
      <c r="AM44" s="1484" t="s">
        <v>504</v>
      </c>
      <c r="AO44" s="1851"/>
      <c r="AP44" s="1851" t="str">
        <f>IF(T44="","",T44)</f>
        <v>Территория действия тарифа</v>
      </c>
      <c r="AQ44" s="1851"/>
      <c r="AR44" s="1851"/>
    </row>
    <row customHeight="1" ht="23.25">
      <c r="A45" s="1494" t="s">
        <v>260</v>
      </c>
      <c r="B45" s="1494" t="s">
        <v>261</v>
      </c>
      <c r="C45" s="1494" t="s">
        <v>262</v>
      </c>
      <c r="D45" s="1494"/>
      <c r="E45" s="2424"/>
      <c r="F45" s="2424"/>
      <c r="G45" s="2423">
        <v>1</v>
      </c>
      <c r="H45" s="1494"/>
      <c r="I45" s="1494"/>
      <c r="J45" s="1494"/>
      <c r="K45" s="1494"/>
      <c r="L45" s="1537"/>
      <c r="M45" s="1837"/>
      <c r="N45" s="1837"/>
      <c r="O45" s="1837"/>
      <c r="P45" s="576"/>
      <c r="Q45" s="574"/>
      <c r="R45" s="575"/>
      <c r="S45" s="2186" t="str">
        <f>INDEX(PT_DIFFERENTIATION_NUM_CS,MATCH(C45,PT_DIFFERENTIATION_CS_ID,0))</f>
        <v>..</v>
      </c>
      <c r="T45" s="531" t="s">
        <v>505</v>
      </c>
      <c r="U45" s="522"/>
      <c r="V45" s="2382"/>
      <c r="W45" s="2383"/>
      <c r="X45" s="2383"/>
      <c r="Y45" s="2383"/>
      <c r="Z45" s="2383"/>
      <c r="AA45" s="2383"/>
      <c r="AB45" s="2383"/>
      <c r="AC45" s="2384"/>
      <c r="AD45" s="2382" t="str">
        <f>INDEX(PT_DIFFERENTIATION_CS,MATCH(C45,PT_DIFFERENTIATION_CS_ID,0))</f>
        <v/>
      </c>
      <c r="AE45" s="2383"/>
      <c r="AF45" s="2383"/>
      <c r="AG45" s="2383"/>
      <c r="AH45" s="2383"/>
      <c r="AI45" s="2383"/>
      <c r="AJ45" s="2383"/>
      <c r="AK45" s="2383"/>
      <c r="AL45" s="2384"/>
      <c r="AM45" s="1484" t="s">
        <v>506</v>
      </c>
      <c r="AO45" s="1851"/>
      <c r="AP45" s="1851" t="str">
        <f>IF(T45="","",T45)</f>
        <v>Наименование системы теплоснабжения </v>
      </c>
      <c r="AQ45" s="1851"/>
      <c r="AR45" s="1851"/>
    </row>
    <row customHeight="1" ht="21">
      <c r="A46" s="1494" t="s">
        <v>260</v>
      </c>
      <c r="B46" s="1494" t="s">
        <v>261</v>
      </c>
      <c r="C46" s="1494" t="s">
        <v>262</v>
      </c>
      <c r="D46" s="1494" t="s">
        <v>263</v>
      </c>
      <c r="E46" s="2424"/>
      <c r="F46" s="2424"/>
      <c r="G46" s="2424"/>
      <c r="H46" s="2423">
        <v>1</v>
      </c>
      <c r="I46" s="1494"/>
      <c r="J46" s="1494"/>
      <c r="K46" s="1494"/>
      <c r="L46" s="1537"/>
      <c r="M46" s="1837"/>
      <c r="N46" s="1837"/>
      <c r="O46" s="1837"/>
      <c r="P46" s="576"/>
      <c r="Q46" s="574"/>
      <c r="R46" s="575"/>
      <c r="S46" s="2186" t="str">
        <f>INDEX(PT_DIFFERENTIATION_NUM_IST_TE,MATCH(D46,PT_DIFFERENTIATION_IST_TE_ID,0))</f>
        <v>...</v>
      </c>
      <c r="T46" s="532" t="s">
        <v>507</v>
      </c>
      <c r="U46" s="522"/>
      <c r="V46" s="2382"/>
      <c r="W46" s="2383"/>
      <c r="X46" s="2383"/>
      <c r="Y46" s="2383"/>
      <c r="Z46" s="2383"/>
      <c r="AA46" s="2383"/>
      <c r="AB46" s="2383"/>
      <c r="AC46" s="2384"/>
      <c r="AD46" s="2382" t="str">
        <f>INDEX(PT_DIFFERENTIATION_IST_TE,MATCH(D46,PT_DIFFERENTIATION_IST_TE_ID,0))</f>
        <v/>
      </c>
      <c r="AE46" s="2383"/>
      <c r="AF46" s="2383"/>
      <c r="AG46" s="2383"/>
      <c r="AH46" s="2383"/>
      <c r="AI46" s="2383"/>
      <c r="AJ46" s="2383"/>
      <c r="AK46" s="2383"/>
      <c r="AL46" s="2384"/>
      <c r="AM46" s="1484" t="s">
        <v>508</v>
      </c>
      <c r="AO46" s="1851"/>
      <c r="AP46" s="1851" t="str">
        <f>IF(T46="","",T46)</f>
        <v>Источник тепловой энергии  </v>
      </c>
      <c r="AQ46" s="1851"/>
      <c r="AR46" s="1851"/>
    </row>
    <row customHeight="1" ht="47.25">
      <c r="A47" s="1494" t="s">
        <v>260</v>
      </c>
      <c r="B47" s="1494" t="s">
        <v>261</v>
      </c>
      <c r="C47" s="1494" t="s">
        <v>262</v>
      </c>
      <c r="D47" s="1494" t="s">
        <v>263</v>
      </c>
      <c r="E47" s="2424"/>
      <c r="F47" s="2424"/>
      <c r="G47" s="2424"/>
      <c r="H47" s="2424"/>
      <c r="I47" s="2253" t="str">
        <f>S46&amp;".1"</f>
        <v>....1</v>
      </c>
      <c r="J47" s="1494"/>
      <c r="K47" s="1494"/>
      <c r="L47" s="1537" t="s">
        <v>509</v>
      </c>
      <c r="P47" s="2392">
        <v>1</v>
      </c>
      <c r="Q47" s="2182"/>
      <c r="R47" s="578"/>
      <c r="S47" s="2186" t="str">
        <f>$I47</f>
        <v>....1</v>
      </c>
      <c r="T47" s="507" t="s">
        <v>510</v>
      </c>
      <c r="U47" s="522"/>
      <c r="V47" s="2376"/>
      <c r="W47" s="2377"/>
      <c r="X47" s="2377"/>
      <c r="Y47" s="2377"/>
      <c r="Z47" s="2377"/>
      <c r="AA47" s="2377"/>
      <c r="AB47" s="2377"/>
      <c r="AC47" s="2378"/>
      <c r="AD47" s="2376"/>
      <c r="AE47" s="2377"/>
      <c r="AF47" s="2377"/>
      <c r="AG47" s="2377"/>
      <c r="AH47" s="2377"/>
      <c r="AI47" s="2377"/>
      <c r="AJ47" s="2377"/>
      <c r="AK47" s="2377"/>
      <c r="AL47" s="2378"/>
      <c r="AM47" s="1484" t="s">
        <v>511</v>
      </c>
      <c r="AO47" s="1851"/>
      <c r="AP47" s="1851" t="str">
        <f>IF(T47="","",T47)</f>
        <v>Схема подключения теплопотребляющей установки к коллектору источника тепловой энергии</v>
      </c>
      <c r="AQ47" s="1851"/>
      <c r="AR47" s="1851"/>
    </row>
    <row customHeight="1" ht="21">
      <c r="A48" s="1494" t="s">
        <v>260</v>
      </c>
      <c r="B48" s="1494" t="s">
        <v>261</v>
      </c>
      <c r="C48" s="1494" t="s">
        <v>262</v>
      </c>
      <c r="D48" s="1494" t="s">
        <v>263</v>
      </c>
      <c r="E48" s="2424"/>
      <c r="F48" s="2424"/>
      <c r="G48" s="2424"/>
      <c r="H48" s="2424"/>
      <c r="I48" s="2237"/>
      <c r="J48" s="2253" t="str">
        <f>I47&amp;".1"</f>
        <v>....1.1</v>
      </c>
      <c r="K48" s="1494"/>
      <c r="L48" s="1537" t="s">
        <v>512</v>
      </c>
      <c r="P48" s="2392"/>
      <c r="Q48" s="2392">
        <v>1</v>
      </c>
      <c r="R48" s="579"/>
      <c r="S48" s="2186" t="str">
        <f>$J48</f>
        <v>....1.1</v>
      </c>
      <c r="T48" s="508" t="s">
        <v>513</v>
      </c>
      <c r="U48" s="522"/>
      <c r="V48" s="2376"/>
      <c r="W48" s="2377"/>
      <c r="X48" s="2377"/>
      <c r="Y48" s="2377"/>
      <c r="Z48" s="2377"/>
      <c r="AA48" s="2377"/>
      <c r="AB48" s="2377"/>
      <c r="AC48" s="2378"/>
      <c r="AD48" s="2376"/>
      <c r="AE48" s="2377"/>
      <c r="AF48" s="2377"/>
      <c r="AG48" s="2377"/>
      <c r="AH48" s="2377"/>
      <c r="AI48" s="2377"/>
      <c r="AJ48" s="2377"/>
      <c r="AK48" s="2377"/>
      <c r="AL48" s="2378"/>
      <c r="AM48" s="1484" t="s">
        <v>514</v>
      </c>
      <c r="AO48" s="1851"/>
      <c r="AP48" s="1851" t="str">
        <f>IF(T48="","",T48)</f>
        <v>Группа потребителей</v>
      </c>
      <c r="AQ48" s="1851"/>
      <c r="AR48" s="1851"/>
    </row>
    <row customHeight="1" ht="21">
      <c r="A49" s="1494" t="s">
        <v>260</v>
      </c>
      <c r="B49" s="1494" t="s">
        <v>261</v>
      </c>
      <c r="C49" s="1494" t="s">
        <v>262</v>
      </c>
      <c r="D49" s="1494" t="s">
        <v>263</v>
      </c>
      <c r="E49" s="2424"/>
      <c r="F49" s="2424"/>
      <c r="G49" s="2424"/>
      <c r="H49" s="2424"/>
      <c r="I49" s="2237"/>
      <c r="J49" s="2237"/>
      <c r="K49" s="2253" t="str">
        <f>J48&amp;".1"</f>
        <v>....1.1.1</v>
      </c>
      <c r="L49" s="1537" t="s">
        <v>515</v>
      </c>
      <c r="P49" s="2392"/>
      <c r="Q49" s="2392"/>
      <c r="R49" s="579">
        <v>1</v>
      </c>
      <c r="S49" s="2186" t="str">
        <f>$K49</f>
        <v>....1.1.1</v>
      </c>
      <c r="T49" s="1574"/>
      <c r="U49" s="522"/>
      <c r="V49" s="973"/>
      <c r="W49" s="547"/>
      <c r="X49" s="973"/>
      <c r="Y49" s="1483"/>
      <c r="Z49" s="2393"/>
      <c r="AA49" s="2263" t="s">
        <v>63</v>
      </c>
      <c r="AB49" s="2393"/>
      <c r="AC49" s="2263" t="s">
        <v>63</v>
      </c>
      <c r="AD49" s="973"/>
      <c r="AE49" s="547"/>
      <c r="AF49" s="973"/>
      <c r="AG49" s="1483"/>
      <c r="AH49" s="2393"/>
      <c r="AI49" s="2263" t="s">
        <v>63</v>
      </c>
      <c r="AJ49" s="2395"/>
      <c r="AK49" s="2263" t="s">
        <v>63</v>
      </c>
      <c r="AL49" s="1575"/>
      <c r="AM49" s="2418" t="s">
        <v>516</v>
      </c>
      <c r="AN49" s="1863">
        <f>STRCHECKDATE(V50:AL50)</f>
      </c>
      <c r="AO49" s="1851"/>
      <c r="AP49" s="1851" t="str">
        <f>IF(T49="","",T49)</f>
        <v/>
      </c>
      <c r="AQ49" s="1851"/>
      <c r="AR49" s="1851"/>
    </row>
    <row customHeight="1" ht="0.75">
      <c r="A50" s="1494" t="s">
        <v>260</v>
      </c>
      <c r="B50" s="1494" t="s">
        <v>261</v>
      </c>
      <c r="C50" s="1494" t="s">
        <v>262</v>
      </c>
      <c r="D50" s="1494" t="s">
        <v>263</v>
      </c>
      <c r="E50" s="2424"/>
      <c r="F50" s="2424"/>
      <c r="G50" s="2424"/>
      <c r="H50" s="2424"/>
      <c r="I50" s="2237"/>
      <c r="J50" s="2237"/>
      <c r="K50" s="2253"/>
      <c r="L50" s="1537"/>
      <c r="P50" s="2392"/>
      <c r="Q50" s="2392"/>
      <c r="R50" s="579"/>
      <c r="S50" s="2195"/>
      <c r="T50" s="522"/>
      <c r="U50" s="522"/>
      <c r="V50" s="547"/>
      <c r="W50" s="547"/>
      <c r="X50" s="547"/>
      <c r="Y50" s="550" t="str">
        <f>Z49&amp;"-"&amp;AB49</f>
        <v>-</v>
      </c>
      <c r="Z50" s="2394"/>
      <c r="AA50" s="2263"/>
      <c r="AB50" s="2394"/>
      <c r="AC50" s="2263"/>
      <c r="AD50" s="547"/>
      <c r="AE50" s="547"/>
      <c r="AF50" s="547"/>
      <c r="AG50" s="550" t="str">
        <f>AH49&amp;"-"&amp;AJ49</f>
        <v>-</v>
      </c>
      <c r="AH50" s="2394"/>
      <c r="AI50" s="2263"/>
      <c r="AJ50" s="2396"/>
      <c r="AK50" s="2263"/>
      <c r="AL50" s="1576"/>
      <c r="AM50" s="2419"/>
      <c r="AO50" s="1851"/>
      <c r="AP50" s="1851" t="str">
        <f>IF(T50="","",T50)</f>
        <v/>
      </c>
      <c r="AQ50" s="1851"/>
      <c r="AR50" s="1851"/>
    </row>
    <row customHeight="1" ht="11.25">
      <c r="A51" s="1494" t="s">
        <v>260</v>
      </c>
      <c r="B51" s="1494" t="s">
        <v>261</v>
      </c>
      <c r="C51" s="1494" t="s">
        <v>262</v>
      </c>
      <c r="D51" s="1494" t="s">
        <v>263</v>
      </c>
      <c r="E51" s="2424"/>
      <c r="F51" s="2424"/>
      <c r="G51" s="2424"/>
      <c r="H51" s="2424"/>
      <c r="I51" s="2237"/>
      <c r="J51" s="2253"/>
      <c r="K51" s="1494"/>
      <c r="L51" s="1537"/>
      <c r="P51" s="2392"/>
      <c r="Q51" s="2392"/>
      <c r="R51" s="578"/>
      <c r="S51" s="1505"/>
      <c r="T51" s="510" t="s">
        <v>517</v>
      </c>
      <c r="U51" s="822"/>
      <c r="V51" s="822"/>
      <c r="W51" s="822"/>
      <c r="X51" s="822"/>
      <c r="Y51" s="822"/>
      <c r="Z51" s="822"/>
      <c r="AA51" s="822"/>
      <c r="AB51" s="822"/>
      <c r="AC51" s="822"/>
      <c r="AD51" s="822"/>
      <c r="AE51" s="822"/>
      <c r="AF51" s="822"/>
      <c r="AG51" s="822"/>
      <c r="AH51" s="822"/>
      <c r="AI51" s="822"/>
      <c r="AJ51" s="822"/>
      <c r="AK51" s="822"/>
      <c r="AL51" s="546"/>
      <c r="AM51" s="2420"/>
      <c r="AO51" s="1851"/>
      <c r="AP51" s="1851" t="str">
        <f>IF(T51="","",T51)</f>
        <v>Добавить вид теплоносителя (параметры теплоносителя)</v>
      </c>
      <c r="AQ51" s="1851"/>
      <c r="AR51" s="1851"/>
    </row>
    <row customHeight="1" ht="11.25">
      <c r="A52" s="1494" t="s">
        <v>260</v>
      </c>
      <c r="B52" s="1494" t="s">
        <v>261</v>
      </c>
      <c r="C52" s="1494" t="s">
        <v>262</v>
      </c>
      <c r="D52" s="1494" t="s">
        <v>263</v>
      </c>
      <c r="E52" s="2424"/>
      <c r="F52" s="2424"/>
      <c r="G52" s="2424"/>
      <c r="H52" s="2424"/>
      <c r="I52" s="2253"/>
      <c r="J52" s="1494"/>
      <c r="K52" s="1494"/>
      <c r="L52" s="1537"/>
      <c r="P52" s="2392"/>
      <c r="Q52" s="2182"/>
      <c r="R52" s="578"/>
      <c r="S52" s="1505"/>
      <c r="T52" s="509" t="s">
        <v>518</v>
      </c>
      <c r="U52" s="822"/>
      <c r="V52" s="822"/>
      <c r="W52" s="822"/>
      <c r="X52" s="822"/>
      <c r="Y52" s="822"/>
      <c r="Z52" s="822"/>
      <c r="AA52" s="822"/>
      <c r="AB52" s="822"/>
      <c r="AC52" s="588"/>
      <c r="AD52" s="822"/>
      <c r="AE52" s="822"/>
      <c r="AF52" s="822"/>
      <c r="AG52" s="822"/>
      <c r="AH52" s="822"/>
      <c r="AI52" s="822"/>
      <c r="AJ52" s="822"/>
      <c r="AK52" s="588"/>
      <c r="AL52" s="822"/>
      <c r="AM52" s="525"/>
      <c r="AO52" s="1851"/>
      <c r="AP52" s="1851" t="str">
        <f>IF(T52="","",T52)</f>
        <v>Добавить группу потребителей</v>
      </c>
      <c r="AQ52" s="1851"/>
      <c r="AR52" s="1851"/>
    </row>
    <row customHeight="1" ht="14.25">
      <c r="A53" s="1494" t="s">
        <v>260</v>
      </c>
      <c r="B53" s="1494" t="s">
        <v>261</v>
      </c>
      <c r="C53" s="1494" t="s">
        <v>262</v>
      </c>
      <c r="D53" s="1494" t="s">
        <v>263</v>
      </c>
      <c r="E53" s="2424"/>
      <c r="F53" s="2424"/>
      <c r="G53" s="2424"/>
      <c r="H53" s="2423"/>
      <c r="I53" s="1494"/>
      <c r="J53" s="1494"/>
      <c r="K53" s="1494"/>
      <c r="L53" s="1537"/>
      <c r="M53" s="1837"/>
      <c r="N53" s="1837"/>
      <c r="O53" s="1862"/>
      <c r="P53" s="582"/>
      <c r="Q53" s="597"/>
      <c r="R53" s="577"/>
      <c r="S53" s="1505"/>
      <c r="T53" s="587" t="s">
        <v>519</v>
      </c>
      <c r="U53" s="822"/>
      <c r="V53" s="822"/>
      <c r="W53" s="822"/>
      <c r="X53" s="822"/>
      <c r="Y53" s="822"/>
      <c r="Z53" s="822"/>
      <c r="AA53" s="822"/>
      <c r="AB53" s="822"/>
      <c r="AC53" s="588"/>
      <c r="AD53" s="822"/>
      <c r="AE53" s="822"/>
      <c r="AF53" s="822"/>
      <c r="AG53" s="822"/>
      <c r="AH53" s="822"/>
      <c r="AI53" s="822"/>
      <c r="AJ53" s="822"/>
      <c r="AK53" s="588"/>
      <c r="AL53" s="822"/>
      <c r="AM53" s="525"/>
      <c r="AO53" s="1851"/>
      <c r="AP53" s="1851" t="str">
        <f>IF(T53="","",T53)</f>
        <v>Добавить схему подключения</v>
      </c>
      <c r="AQ53" s="1851"/>
      <c r="AR53" s="1851"/>
    </row>
    <row s="16654" customFormat="1" customHeight="1" ht="0.75">
      <c r="A54" s="1602" t="s">
        <v>260</v>
      </c>
      <c r="B54" s="1602" t="s">
        <v>261</v>
      </c>
      <c r="C54" s="1602" t="s">
        <v>262</v>
      </c>
      <c r="D54" s="1601"/>
      <c r="E54" s="2424"/>
      <c r="F54" s="2424"/>
      <c r="G54" s="2423"/>
      <c r="H54" s="1601"/>
      <c r="I54" s="1601"/>
      <c r="J54" s="1601"/>
      <c r="K54" s="1601"/>
      <c r="L54" s="1604"/>
      <c r="M54" s="1605"/>
      <c r="N54" s="1605"/>
      <c r="O54" s="573"/>
      <c r="P54" s="1543"/>
      <c r="Q54" s="1544"/>
      <c r="R54" s="1543"/>
      <c r="S54" s="1549"/>
      <c r="T54" s="1552" t="s">
        <v>520</v>
      </c>
      <c r="U54" s="1551"/>
      <c r="V54" s="1551"/>
      <c r="W54" s="1551"/>
      <c r="X54" s="1551"/>
      <c r="Y54" s="1551"/>
      <c r="Z54" s="1551"/>
      <c r="AA54" s="1551"/>
      <c r="AB54" s="1551"/>
      <c r="AC54" s="1551"/>
      <c r="AD54" s="1551"/>
      <c r="AE54" s="1551"/>
      <c r="AF54" s="1551"/>
      <c r="AG54" s="1551"/>
      <c r="AH54" s="1551"/>
      <c r="AI54" s="1551"/>
      <c r="AJ54" s="1551"/>
      <c r="AK54" s="1551"/>
      <c r="AL54" s="1551"/>
      <c r="AM54" s="1551"/>
      <c r="AO54" s="1477"/>
      <c r="AP54" s="1477" t="str">
        <f>IF(T54="","",T54)</f>
        <v>Добавить источник для дифференциации</v>
      </c>
      <c r="AQ54" s="1477"/>
      <c r="AR54" s="1477"/>
    </row>
    <row s="16654" customFormat="1" customHeight="1" ht="0.75">
      <c r="A55" s="1602" t="s">
        <v>260</v>
      </c>
      <c r="B55" s="1602" t="s">
        <v>261</v>
      </c>
      <c r="C55" s="1601"/>
      <c r="D55" s="1601"/>
      <c r="E55" s="2424"/>
      <c r="F55" s="2423"/>
      <c r="G55" s="1601"/>
      <c r="H55" s="1601"/>
      <c r="I55" s="1601"/>
      <c r="J55" s="1601"/>
      <c r="K55" s="1601"/>
      <c r="L55" s="1604"/>
      <c r="M55" s="1606"/>
      <c r="N55" s="1606"/>
      <c r="O55" s="573"/>
      <c r="P55" s="1543"/>
      <c r="Q55" s="1544"/>
      <c r="R55" s="1543"/>
      <c r="S55" s="1549"/>
      <c r="T55" s="1552" t="s">
        <v>305</v>
      </c>
      <c r="U55" s="1551"/>
      <c r="V55" s="1551"/>
      <c r="W55" s="1551"/>
      <c r="X55" s="1551"/>
      <c r="Y55" s="1551"/>
      <c r="Z55" s="1551"/>
      <c r="AA55" s="1551"/>
      <c r="AB55" s="1551"/>
      <c r="AC55" s="1551"/>
      <c r="AD55" s="1551"/>
      <c r="AE55" s="1551"/>
      <c r="AF55" s="1551"/>
      <c r="AG55" s="1551"/>
      <c r="AH55" s="1551"/>
      <c r="AI55" s="1551"/>
      <c r="AJ55" s="1551"/>
      <c r="AK55" s="1551"/>
      <c r="AL55" s="1551"/>
      <c r="AM55" s="1551"/>
      <c r="AO55" s="1477"/>
      <c r="AP55" s="1477" t="str">
        <f>IF(T55="","",T55)</f>
        <v>Добавить централизованную систему для дифференциации</v>
      </c>
      <c r="AQ55" s="1477"/>
      <c r="AR55" s="1477"/>
    </row>
    <row s="16674" customFormat="1" customHeight="1" ht="0.75">
      <c r="A56" s="1602" t="s">
        <v>260</v>
      </c>
      <c r="B56" s="1602"/>
      <c r="C56" s="1602"/>
      <c r="D56" s="1602"/>
      <c r="E56" s="2423"/>
      <c r="F56" s="1602"/>
      <c r="G56" s="1602"/>
      <c r="H56" s="1602"/>
      <c r="I56" s="1602"/>
      <c r="J56" s="1602"/>
      <c r="K56" s="1602"/>
      <c r="L56" s="1608"/>
      <c r="M56" s="1606"/>
      <c r="N56" s="1606"/>
      <c r="O56" s="573"/>
      <c r="P56" s="602"/>
      <c r="Q56" s="1571"/>
      <c r="R56" s="602"/>
      <c r="S56" s="1549"/>
      <c r="T56" s="1552" t="s">
        <v>358</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row>
    <row s="16654" customFormat="1" customHeight="1" ht="0.75">
      <c r="A57" s="1601"/>
      <c r="B57" s="1601"/>
      <c r="C57" s="1601"/>
      <c r="D57" s="1601"/>
      <c r="E57" s="1602"/>
      <c r="F57" s="1601"/>
      <c r="G57" s="1601"/>
      <c r="H57" s="1601"/>
      <c r="I57" s="1601"/>
      <c r="J57" s="1601"/>
      <c r="K57" s="1601"/>
      <c r="L57" s="1604"/>
      <c r="M57" s="1606"/>
      <c r="N57" s="1606"/>
      <c r="O57" s="573"/>
      <c r="P57" s="1543"/>
      <c r="Q57" s="1544"/>
      <c r="R57" s="1543"/>
      <c r="S57" s="1549"/>
      <c r="T57" s="1552" t="s">
        <v>359</v>
      </c>
      <c r="U57" s="1551"/>
      <c r="V57" s="1551"/>
      <c r="W57" s="1551"/>
      <c r="X57" s="1551"/>
      <c r="Y57" s="1551"/>
      <c r="Z57" s="1551"/>
      <c r="AA57" s="1551"/>
      <c r="AB57" s="1551"/>
      <c r="AC57" s="1551"/>
      <c r="AD57" s="1551"/>
      <c r="AE57" s="1551"/>
      <c r="AF57" s="1551"/>
      <c r="AG57" s="1551"/>
      <c r="AH57" s="1551"/>
      <c r="AI57" s="1551"/>
      <c r="AJ57" s="1551"/>
      <c r="AK57" s="1551"/>
      <c r="AL57" s="1551"/>
      <c r="AM57" s="1551"/>
      <c r="AO57" s="1477"/>
      <c r="AP57" s="1477" t="str">
        <f>IF(T57="","",T57)</f>
        <v>Добавить наименование тарифа</v>
      </c>
      <c r="AQ57" s="1477"/>
      <c r="AR57" s="1477"/>
    </row>
    <row customHeight="1" ht="11.25">
      <c r="M58" s="1858"/>
      <c r="N58" s="1858"/>
      <c r="O58" s="1862"/>
      <c r="P58" s="1858"/>
      <c r="Q58" s="1858"/>
      <c r="R58" s="1858"/>
      <c r="S58" s="1858"/>
      <c r="AN58" s="1858"/>
      <c r="AO58" s="1858"/>
      <c r="AP58" s="1858"/>
      <c r="AQ58" s="1858"/>
      <c r="AR58" s="1858"/>
    </row>
    <row customHeight="1" ht="27">
      <c r="O59" s="1862"/>
      <c r="S59" s="1479"/>
      <c r="T59" s="2387"/>
      <c r="U59" s="2387"/>
      <c r="V59" s="2387"/>
      <c r="W59" s="2387"/>
      <c r="X59" s="2387"/>
      <c r="Y59" s="2387"/>
      <c r="Z59" s="2387"/>
      <c r="AA59" s="2387"/>
      <c r="AB59" s="2387"/>
      <c r="AC59" s="2387"/>
      <c r="AD59" s="2387"/>
      <c r="AE59" s="2387"/>
      <c r="AF59" s="2387"/>
      <c r="AG59" s="2387"/>
      <c r="AH59" s="2387"/>
      <c r="AI59" s="2387"/>
      <c r="AJ59" s="2387"/>
      <c r="AK59" s="2387"/>
      <c r="AL59" s="2387"/>
      <c r="AM59" s="2387"/>
    </row>
    <row customHeight="1" ht="62.25">
      <c r="O60" s="1862"/>
      <c r="T60" s="2387"/>
      <c r="U60" s="2387"/>
      <c r="V60" s="2387"/>
      <c r="W60" s="2387"/>
      <c r="X60" s="2387"/>
      <c r="Y60" s="2387"/>
      <c r="Z60" s="2387"/>
      <c r="AA60" s="2387"/>
      <c r="AB60" s="2387"/>
      <c r="AC60" s="2387"/>
      <c r="AD60" s="2387"/>
      <c r="AE60" s="2387"/>
      <c r="AF60" s="2387"/>
      <c r="AG60" s="2387"/>
      <c r="AH60" s="2387"/>
      <c r="AI60" s="2387"/>
      <c r="AJ60" s="2387"/>
      <c r="AK60" s="2387"/>
      <c r="AL60" s="2387"/>
      <c r="AM60" s="2387"/>
    </row>
    <row customHeight="1" ht="14.25">
      <c r="O61" s="1862"/>
    </row>
    <row customHeight="1" ht="18">
      <c r="O62" s="1862"/>
      <c r="S62" s="1479"/>
      <c r="T62" s="2387"/>
      <c r="U62" s="2387"/>
      <c r="V62" s="2387"/>
      <c r="W62" s="2387"/>
      <c r="X62" s="2387"/>
      <c r="Y62" s="2387"/>
      <c r="Z62" s="2387"/>
      <c r="AA62" s="2387"/>
      <c r="AB62" s="2387"/>
      <c r="AC62" s="2387"/>
      <c r="AD62" s="2387"/>
      <c r="AE62" s="2387"/>
      <c r="AF62" s="2387"/>
      <c r="AG62" s="2387"/>
      <c r="AH62" s="2387"/>
      <c r="AI62" s="2387"/>
      <c r="AJ62" s="2387"/>
      <c r="AK62" s="2387"/>
      <c r="AL62" s="2387"/>
      <c r="AM62" s="2387"/>
    </row>
    <row customHeight="1" ht="18">
      <c r="O63" s="1862"/>
      <c r="T63" s="2387"/>
      <c r="U63" s="2387"/>
      <c r="V63" s="2387"/>
      <c r="W63" s="2387"/>
      <c r="X63" s="2387"/>
      <c r="Y63" s="2387"/>
      <c r="Z63" s="2387"/>
      <c r="AA63" s="2387"/>
      <c r="AB63" s="2387"/>
      <c r="AC63" s="2387"/>
      <c r="AD63" s="2387"/>
      <c r="AE63" s="2387"/>
      <c r="AF63" s="2387"/>
      <c r="AG63" s="2387"/>
      <c r="AH63" s="2387"/>
      <c r="AI63" s="2387"/>
      <c r="AJ63" s="2387"/>
      <c r="AK63" s="2387"/>
      <c r="AL63" s="2387"/>
      <c r="AM63" s="2387"/>
    </row>
    <row customHeight="1" ht="27.75">
      <c r="O64" s="1862"/>
      <c r="S64" s="1479"/>
      <c r="T64" s="2387"/>
      <c r="U64" s="2387"/>
      <c r="V64" s="2387"/>
      <c r="W64" s="2387"/>
      <c r="X64" s="2387"/>
      <c r="Y64" s="2387"/>
      <c r="Z64" s="2387"/>
      <c r="AA64" s="2387"/>
      <c r="AB64" s="2387"/>
      <c r="AC64" s="2387"/>
      <c r="AD64" s="2387"/>
      <c r="AE64" s="2387"/>
      <c r="AF64" s="2387"/>
      <c r="AG64" s="2387"/>
      <c r="AH64" s="2387"/>
      <c r="AI64" s="2387"/>
      <c r="AJ64" s="2387"/>
      <c r="AK64" s="2387"/>
      <c r="AL64" s="2387"/>
      <c r="AM64" s="2387"/>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2FAAD2-8731-8B8D-5414-FA13C67A2D74}"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16676" width="10.57421875" hidden="1"/>
    <col min="2" max="2" style="16676" width="11.00390625" hidden="1" customWidth="1"/>
    <col min="3" max="3" style="16676" width="10.57421875" hidden="1"/>
    <col min="4" max="4" style="16676" width="11.8515625" hidden="1" customWidth="1"/>
    <col min="5" max="5" style="16676" width="10.00390625" hidden="1" customWidth="1"/>
    <col min="6" max="6" style="16676" width="8.7109375" hidden="1" customWidth="1"/>
    <col min="7" max="7" style="16676" width="7.57421875" hidden="1" customWidth="1"/>
    <col min="8" max="8" style="16676" width="11.421875" hidden="1" customWidth="1"/>
    <col min="9" max="9" style="16676" width="12.00390625" hidden="1" customWidth="1"/>
    <col min="10" max="10" style="16676" width="9.8515625" hidden="1" customWidth="1"/>
    <col min="11" max="11" style="16676" width="11.421875" hidden="1" customWidth="1"/>
    <col min="12" max="12" style="16677" width="19.140625" hidden="1" customWidth="1"/>
    <col min="13" max="14" style="16678" width="12.28125" hidden="1" customWidth="1"/>
    <col min="15" max="15" style="16678" width="23.421875" hidden="1" customWidth="1"/>
    <col min="16" max="16" style="16678" width="3.7109375" customWidth="1"/>
    <col min="17" max="18" style="16633" width="3.7109375" customWidth="1"/>
    <col min="19" max="19" style="16634" width="12.7109375" customWidth="1"/>
    <col min="20" max="20" style="16676" width="32.00390625" customWidth="1"/>
    <col min="21" max="21" style="16676" width="0.140625" customWidth="1"/>
    <col min="22" max="22" style="16676" width="24.7109375" hidden="1" customWidth="1"/>
    <col min="23" max="23" style="16676" width="0.140625" hidden="1" customWidth="1"/>
    <col min="24" max="25" style="16676" width="24.7109375" hidden="1" customWidth="1"/>
    <col min="26" max="26" style="16676" width="11.7109375" hidden="1" customWidth="1"/>
    <col min="27" max="27" style="16676" width="3.7109375" hidden="1" customWidth="1"/>
    <col min="28" max="28" style="16676" width="11.7109375" hidden="1" customWidth="1"/>
    <col min="29" max="29" style="16676" width="8.57421875" hidden="1" customWidth="1"/>
    <col min="30" max="30" style="16676" width="24.7109375" customWidth="1"/>
    <col min="31" max="31" style="16676" width="0.140625" customWidth="1"/>
    <col min="32" max="33" style="16676" width="24.7109375" customWidth="1"/>
    <col min="34" max="34" style="16676" width="11.7109375" customWidth="1"/>
    <col min="35" max="35" style="16676" width="3.7109375" customWidth="1"/>
    <col min="36" max="36" style="16676" width="11.7109375" customWidth="1"/>
    <col min="37" max="37" style="16676" width="8.57421875" hidden="1" customWidth="1"/>
    <col min="38" max="38" style="16676" width="4.7109375" customWidth="1"/>
    <col min="39" max="39" style="16676" width="115.7109375" customWidth="1"/>
    <col min="40" max="41" style="16674" width="10.57421875"/>
    <col min="42" max="42" style="16674" width="11.140625" customWidth="1"/>
    <col min="43" max="44" style="16674" width="10.57421875"/>
  </cols>
  <sheetData>
    <row customHeight="1" ht="14.25" hidden="1"/>
    <row customHeight="1" ht="21" hidden="1">
      <c r="A2" s="1494"/>
      <c r="B2" s="1494"/>
      <c r="C2" s="1494"/>
      <c r="D2" s="1494"/>
      <c r="E2" s="2423">
        <v>1</v>
      </c>
      <c r="F2" s="1494"/>
      <c r="G2" s="1494"/>
      <c r="H2" s="1494"/>
      <c r="I2" s="1494"/>
      <c r="J2" s="1494"/>
      <c r="K2" s="1494"/>
      <c r="L2" s="1537"/>
      <c r="M2" s="1837"/>
      <c r="N2" s="1837"/>
      <c r="O2" s="1837"/>
      <c r="P2" s="1817"/>
      <c r="Q2" s="582"/>
      <c r="R2" s="577"/>
      <c r="S2" s="2186">
        <f>INDEX(PT_DIFFERENTIATION_NUM_NTAR,MATCH(A2,PT_DIFFERENTIATION_NTAR_ID,0))</f>
      </c>
      <c r="T2" s="1752" t="s">
        <v>179</v>
      </c>
      <c r="U2" s="522"/>
      <c r="V2" s="2382"/>
      <c r="W2" s="2383"/>
      <c r="X2" s="2383"/>
      <c r="Y2" s="2383"/>
      <c r="Z2" s="2383"/>
      <c r="AA2" s="2383"/>
      <c r="AB2" s="2383"/>
      <c r="AC2" s="2384"/>
      <c r="AD2" s="2382">
        <f>INDEX(PT_DIFFERENTIATION_NTAR,MATCH(A2,PT_DIFFERENTIATION_NTAR_ID,0))</f>
      </c>
      <c r="AE2" s="2383"/>
      <c r="AF2" s="2383"/>
      <c r="AG2" s="2383"/>
      <c r="AH2" s="2383"/>
      <c r="AI2" s="2383"/>
      <c r="AJ2" s="2383"/>
      <c r="AK2" s="2383"/>
      <c r="AL2" s="2384"/>
      <c r="AM2" s="1484" t="s">
        <v>502</v>
      </c>
      <c r="AO2" s="1851"/>
      <c r="AP2" s="1851" t="str">
        <f>IF(T2="","",T2)</f>
        <v>Наименование тарифа</v>
      </c>
      <c r="AQ2" s="1851"/>
      <c r="AR2" s="1851"/>
    </row>
    <row customHeight="1" ht="21" hidden="1">
      <c r="A3" s="1494"/>
      <c r="B3" s="1494"/>
      <c r="C3" s="1494"/>
      <c r="D3" s="1494"/>
      <c r="E3" s="2424"/>
      <c r="F3" s="2423">
        <v>1</v>
      </c>
      <c r="G3" s="1494"/>
      <c r="H3" s="1494"/>
      <c r="I3" s="1494"/>
      <c r="J3" s="1494"/>
      <c r="K3" s="1494"/>
      <c r="L3" s="1537"/>
      <c r="M3" s="1837"/>
      <c r="N3" s="1837"/>
      <c r="O3" s="1837"/>
      <c r="P3" s="2168"/>
      <c r="Q3" s="574"/>
      <c r="R3" s="575"/>
      <c r="S3" s="2186">
        <f>INDEX(PT_DIFFERENTIATION_NUM_TER,MATCH(B3,PT_DIFFERENTIATION_TER_ID,0))</f>
      </c>
      <c r="T3" s="1749" t="s">
        <v>503</v>
      </c>
      <c r="U3" s="522"/>
      <c r="V3" s="2382"/>
      <c r="W3" s="2383"/>
      <c r="X3" s="2383"/>
      <c r="Y3" s="2383"/>
      <c r="Z3" s="2383"/>
      <c r="AA3" s="2383"/>
      <c r="AB3" s="2383"/>
      <c r="AC3" s="2384"/>
      <c r="AD3" s="2382">
        <f>INDEX(PT_DIFFERENTIATION_TER,MATCH(B3,PT_DIFFERENTIATION_TER_ID,0))</f>
      </c>
      <c r="AE3" s="2383"/>
      <c r="AF3" s="2383"/>
      <c r="AG3" s="2383"/>
      <c r="AH3" s="2383"/>
      <c r="AI3" s="2383"/>
      <c r="AJ3" s="2383"/>
      <c r="AK3" s="2383"/>
      <c r="AL3" s="2384"/>
      <c r="AM3" s="1484" t="s">
        <v>504</v>
      </c>
      <c r="AO3" s="1851"/>
      <c r="AP3" s="1851" t="str">
        <f>IF(T3="","",T3)</f>
        <v>Территория действия тарифа</v>
      </c>
      <c r="AQ3" s="1851"/>
      <c r="AR3" s="1851"/>
    </row>
    <row customHeight="1" ht="23.25" hidden="1">
      <c r="A4" s="1494"/>
      <c r="B4" s="1494"/>
      <c r="C4" s="1494"/>
      <c r="D4" s="1494"/>
      <c r="E4" s="2424"/>
      <c r="F4" s="2424"/>
      <c r="G4" s="2423">
        <v>1</v>
      </c>
      <c r="H4" s="1494"/>
      <c r="I4" s="1494"/>
      <c r="J4" s="1494"/>
      <c r="K4" s="1494"/>
      <c r="L4" s="1537"/>
      <c r="M4" s="1837"/>
      <c r="N4" s="1837"/>
      <c r="O4" s="1837"/>
      <c r="P4" s="576"/>
      <c r="Q4" s="574"/>
      <c r="R4" s="575"/>
      <c r="S4" s="2186">
        <f>INDEX(PT_DIFFERENTIATION_NUM_CS,MATCH(C4,PT_DIFFERENTIATION_CS_ID,0))</f>
      </c>
      <c r="T4" s="531" t="s">
        <v>505</v>
      </c>
      <c r="U4" s="522"/>
      <c r="V4" s="2382"/>
      <c r="W4" s="2383"/>
      <c r="X4" s="2383"/>
      <c r="Y4" s="2383"/>
      <c r="Z4" s="2383"/>
      <c r="AA4" s="2383"/>
      <c r="AB4" s="2383"/>
      <c r="AC4" s="2384"/>
      <c r="AD4" s="2382">
        <f>INDEX(PT_DIFFERENTIATION_CS,MATCH(C4,PT_DIFFERENTIATION_CS_ID,0))</f>
      </c>
      <c r="AE4" s="2383"/>
      <c r="AF4" s="2383"/>
      <c r="AG4" s="2383"/>
      <c r="AH4" s="2383"/>
      <c r="AI4" s="2383"/>
      <c r="AJ4" s="2383"/>
      <c r="AK4" s="2383"/>
      <c r="AL4" s="2384"/>
      <c r="AM4" s="1484" t="s">
        <v>506</v>
      </c>
      <c r="AO4" s="1851"/>
      <c r="AP4" s="1851" t="str">
        <f>IF(T4="","",T4)</f>
        <v>Наименование системы теплоснабжения </v>
      </c>
      <c r="AQ4" s="1851"/>
      <c r="AR4" s="1851"/>
    </row>
    <row customHeight="1" ht="21" hidden="1">
      <c r="A5" s="1494"/>
      <c r="B5" s="1494"/>
      <c r="C5" s="1494"/>
      <c r="D5" s="1494"/>
      <c r="E5" s="2424"/>
      <c r="F5" s="2424"/>
      <c r="G5" s="2424"/>
      <c r="H5" s="2423">
        <v>1</v>
      </c>
      <c r="I5" s="1494"/>
      <c r="J5" s="1494"/>
      <c r="K5" s="1494"/>
      <c r="L5" s="1537"/>
      <c r="M5" s="1837"/>
      <c r="N5" s="1837"/>
      <c r="O5" s="1837"/>
      <c r="P5" s="576"/>
      <c r="Q5" s="574"/>
      <c r="R5" s="575"/>
      <c r="S5" s="2186">
        <f>INDEX(PT_DIFFERENTIATION_NUM_IST_TE,MATCH(D5,PT_DIFFERENTIATION_IST_TE_ID,0))</f>
      </c>
      <c r="T5" s="532" t="s">
        <v>507</v>
      </c>
      <c r="U5" s="522"/>
      <c r="V5" s="2382"/>
      <c r="W5" s="2383"/>
      <c r="X5" s="2383"/>
      <c r="Y5" s="2383"/>
      <c r="Z5" s="2383"/>
      <c r="AA5" s="2383"/>
      <c r="AB5" s="2383"/>
      <c r="AC5" s="2384"/>
      <c r="AD5" s="2382">
        <f>INDEX(PT_DIFFERENTIATION_IST_TE,MATCH(D5,PT_DIFFERENTIATION_IST_TE_ID,0))</f>
      </c>
      <c r="AE5" s="2383"/>
      <c r="AF5" s="2383"/>
      <c r="AG5" s="2383"/>
      <c r="AH5" s="2383"/>
      <c r="AI5" s="2383"/>
      <c r="AJ5" s="2383"/>
      <c r="AK5" s="2383"/>
      <c r="AL5" s="2384"/>
      <c r="AM5" s="1484" t="s">
        <v>508</v>
      </c>
      <c r="AO5" s="1851"/>
      <c r="AP5" s="1851" t="str">
        <f>IF(T5="","",T5)</f>
        <v>Источник тепловой энергии  </v>
      </c>
      <c r="AQ5" s="1851"/>
      <c r="AR5" s="1851"/>
    </row>
    <row customHeight="1" ht="47.25" hidden="1">
      <c r="A6" s="1494"/>
      <c r="B6" s="1494"/>
      <c r="C6" s="1494"/>
      <c r="D6" s="1494"/>
      <c r="E6" s="2424"/>
      <c r="F6" s="2424"/>
      <c r="G6" s="2424"/>
      <c r="H6" s="2424"/>
      <c r="I6" s="2253">
        <f>S5&amp;".1"</f>
      </c>
      <c r="J6" s="1494"/>
      <c r="K6" s="1494"/>
      <c r="L6" s="1537" t="s">
        <v>509</v>
      </c>
      <c r="M6" s="1862"/>
      <c r="P6" s="2392">
        <v>1</v>
      </c>
      <c r="Q6" s="2182"/>
      <c r="R6" s="578"/>
      <c r="S6" s="2186">
        <f>$I6</f>
      </c>
      <c r="T6" s="507" t="s">
        <v>510</v>
      </c>
      <c r="U6" s="522"/>
      <c r="V6" s="2376"/>
      <c r="W6" s="2377"/>
      <c r="X6" s="2377"/>
      <c r="Y6" s="2377"/>
      <c r="Z6" s="2377"/>
      <c r="AA6" s="2377"/>
      <c r="AB6" s="2377"/>
      <c r="AC6" s="2378"/>
      <c r="AD6" s="2376"/>
      <c r="AE6" s="2377"/>
      <c r="AF6" s="2377"/>
      <c r="AG6" s="2377"/>
      <c r="AH6" s="2377"/>
      <c r="AI6" s="2377"/>
      <c r="AJ6" s="2377"/>
      <c r="AK6" s="2377"/>
      <c r="AL6" s="2378"/>
      <c r="AM6" s="1484" t="s">
        <v>511</v>
      </c>
      <c r="AO6" s="1851"/>
      <c r="AP6" s="1851" t="str">
        <f>IF(T6="","",T6)</f>
        <v>Схема подключения теплопотребляющей установки к коллектору источника тепловой энергии</v>
      </c>
      <c r="AQ6" s="1851"/>
      <c r="AR6" s="1851"/>
    </row>
    <row customHeight="1" ht="21" hidden="1">
      <c r="A7" s="1494"/>
      <c r="B7" s="1494"/>
      <c r="C7" s="1494"/>
      <c r="D7" s="1494"/>
      <c r="E7" s="2424"/>
      <c r="F7" s="2424"/>
      <c r="G7" s="2424"/>
      <c r="H7" s="2424"/>
      <c r="I7" s="2237"/>
      <c r="J7" s="2253">
        <f>I6&amp;".1"</f>
      </c>
      <c r="K7" s="1494"/>
      <c r="L7" s="1537" t="s">
        <v>512</v>
      </c>
      <c r="M7" s="1862"/>
      <c r="N7" s="1858"/>
      <c r="P7" s="2392"/>
      <c r="Q7" s="2392">
        <v>1</v>
      </c>
      <c r="R7" s="579"/>
      <c r="S7" s="2186">
        <f>$J7</f>
      </c>
      <c r="T7" s="508" t="s">
        <v>513</v>
      </c>
      <c r="U7" s="522"/>
      <c r="V7" s="2376"/>
      <c r="W7" s="2377"/>
      <c r="X7" s="2377"/>
      <c r="Y7" s="2377"/>
      <c r="Z7" s="2377"/>
      <c r="AA7" s="2377"/>
      <c r="AB7" s="2377"/>
      <c r="AC7" s="2378"/>
      <c r="AD7" s="2376"/>
      <c r="AE7" s="2377"/>
      <c r="AF7" s="2377"/>
      <c r="AG7" s="2377"/>
      <c r="AH7" s="2377"/>
      <c r="AI7" s="2377"/>
      <c r="AJ7" s="2377"/>
      <c r="AK7" s="2377"/>
      <c r="AL7" s="2378"/>
      <c r="AM7" s="1484" t="s">
        <v>514</v>
      </c>
      <c r="AO7" s="1851"/>
      <c r="AP7" s="1851" t="str">
        <f>IF(T7="","",T7)</f>
        <v>Группа потребителей</v>
      </c>
      <c r="AQ7" s="1851"/>
      <c r="AR7" s="1851"/>
    </row>
    <row customHeight="1" ht="21" hidden="1">
      <c r="A8" s="1494"/>
      <c r="B8" s="1494"/>
      <c r="C8" s="1494"/>
      <c r="D8" s="1494"/>
      <c r="E8" s="2424"/>
      <c r="F8" s="2424"/>
      <c r="G8" s="2424"/>
      <c r="H8" s="2424"/>
      <c r="I8" s="2237"/>
      <c r="J8" s="2237"/>
      <c r="K8" s="2253">
        <f>J7&amp;".1"</f>
      </c>
      <c r="L8" s="1537" t="s">
        <v>515</v>
      </c>
      <c r="M8" s="1862"/>
      <c r="N8" s="1858"/>
      <c r="O8" s="1858"/>
      <c r="P8" s="2392"/>
      <c r="Q8" s="2392"/>
      <c r="R8" s="579">
        <v>1</v>
      </c>
      <c r="S8" s="2186">
        <f>$K8</f>
      </c>
      <c r="T8" s="1574"/>
      <c r="U8" s="522"/>
      <c r="V8" s="973"/>
      <c r="W8" s="547"/>
      <c r="X8" s="973"/>
      <c r="Y8" s="1483"/>
      <c r="Z8" s="2393"/>
      <c r="AA8" s="2263" t="s">
        <v>63</v>
      </c>
      <c r="AB8" s="2393"/>
      <c r="AC8" s="2263" t="s">
        <v>63</v>
      </c>
      <c r="AD8" s="973"/>
      <c r="AE8" s="547"/>
      <c r="AF8" s="973"/>
      <c r="AG8" s="1483"/>
      <c r="AH8" s="2393"/>
      <c r="AI8" s="2263" t="s">
        <v>63</v>
      </c>
      <c r="AJ8" s="2393"/>
      <c r="AK8" s="2263" t="s">
        <v>63</v>
      </c>
      <c r="AL8" s="547"/>
      <c r="AM8" s="2418" t="s">
        <v>516</v>
      </c>
      <c r="AN8" s="1863">
        <f>STRCHECKDATE(V9:AL9)</f>
      </c>
      <c r="AO8" s="1851"/>
      <c r="AP8" s="1851" t="str">
        <f>IF(T8="","",T8)</f>
        <v/>
      </c>
      <c r="AQ8" s="1851"/>
      <c r="AR8" s="1851"/>
    </row>
    <row customHeight="1" ht="0.75" hidden="1">
      <c r="A9" s="1494"/>
      <c r="B9" s="1494"/>
      <c r="C9" s="1494"/>
      <c r="D9" s="1494"/>
      <c r="E9" s="2424"/>
      <c r="F9" s="2424"/>
      <c r="G9" s="2424"/>
      <c r="H9" s="2424"/>
      <c r="I9" s="2237"/>
      <c r="J9" s="2237"/>
      <c r="K9" s="2253"/>
      <c r="L9" s="1537"/>
      <c r="M9" s="1862"/>
      <c r="N9" s="1858"/>
      <c r="O9" s="1858"/>
      <c r="P9" s="2392"/>
      <c r="Q9" s="2392"/>
      <c r="R9" s="579"/>
      <c r="S9" s="2195"/>
      <c r="T9" s="522"/>
      <c r="U9" s="522"/>
      <c r="V9" s="547"/>
      <c r="W9" s="547"/>
      <c r="X9" s="547"/>
      <c r="Y9" s="550" t="str">
        <f>Z8&amp;"-"&amp;AB8</f>
        <v>-</v>
      </c>
      <c r="Z9" s="2394"/>
      <c r="AA9" s="2263"/>
      <c r="AB9" s="2394"/>
      <c r="AC9" s="2263"/>
      <c r="AD9" s="547"/>
      <c r="AE9" s="547"/>
      <c r="AF9" s="547"/>
      <c r="AG9" s="550" t="str">
        <f>AH8&amp;"-"&amp;AJ8</f>
        <v>-</v>
      </c>
      <c r="AH9" s="2394"/>
      <c r="AI9" s="2263"/>
      <c r="AJ9" s="2394"/>
      <c r="AK9" s="2263"/>
      <c r="AL9" s="547"/>
      <c r="AM9" s="2419"/>
      <c r="AO9" s="1851"/>
      <c r="AP9" s="1851" t="str">
        <f>IF(T9="","",T9)</f>
        <v/>
      </c>
      <c r="AQ9" s="1851"/>
      <c r="AR9" s="1851"/>
    </row>
    <row customHeight="1" ht="15" hidden="1">
      <c r="A10" s="1494"/>
      <c r="B10" s="1494"/>
      <c r="C10" s="1494"/>
      <c r="D10" s="1494"/>
      <c r="E10" s="2424"/>
      <c r="F10" s="2424"/>
      <c r="G10" s="2424"/>
      <c r="H10" s="2424"/>
      <c r="I10" s="2237"/>
      <c r="J10" s="2253"/>
      <c r="K10" s="1494"/>
      <c r="L10" s="1537"/>
      <c r="M10" s="1862"/>
      <c r="N10" s="1858"/>
      <c r="P10" s="2392"/>
      <c r="Q10" s="2392"/>
      <c r="R10" s="578"/>
      <c r="S10" s="1505"/>
      <c r="T10" s="510" t="s">
        <v>517</v>
      </c>
      <c r="U10" s="822"/>
      <c r="V10" s="822"/>
      <c r="W10" s="822"/>
      <c r="X10" s="822"/>
      <c r="Y10" s="822"/>
      <c r="Z10" s="822"/>
      <c r="AA10" s="822"/>
      <c r="AB10" s="822"/>
      <c r="AC10" s="822"/>
      <c r="AD10" s="822"/>
      <c r="AE10" s="822"/>
      <c r="AF10" s="822"/>
      <c r="AG10" s="822"/>
      <c r="AH10" s="822"/>
      <c r="AI10" s="822"/>
      <c r="AJ10" s="822"/>
      <c r="AK10" s="822"/>
      <c r="AL10" s="546"/>
      <c r="AM10" s="2420"/>
      <c r="AO10" s="1851"/>
      <c r="AP10" s="1851" t="str">
        <f>IF(T10="","",T10)</f>
        <v>Добавить вид теплоносителя (параметры теплоносителя)</v>
      </c>
      <c r="AQ10" s="1851"/>
      <c r="AR10" s="1851"/>
    </row>
    <row customHeight="1" ht="15" hidden="1">
      <c r="A11" s="1494"/>
      <c r="B11" s="1494"/>
      <c r="C11" s="1494"/>
      <c r="D11" s="1494"/>
      <c r="E11" s="2424"/>
      <c r="F11" s="2424"/>
      <c r="G11" s="2424"/>
      <c r="H11" s="2424"/>
      <c r="I11" s="2253"/>
      <c r="J11" s="1494"/>
      <c r="K11" s="1494"/>
      <c r="L11" s="1537"/>
      <c r="M11" s="1862"/>
      <c r="P11" s="2392"/>
      <c r="Q11" s="2182"/>
      <c r="R11" s="578"/>
      <c r="S11" s="1505"/>
      <c r="T11" s="509" t="s">
        <v>518</v>
      </c>
      <c r="U11" s="822"/>
      <c r="V11" s="822"/>
      <c r="W11" s="822"/>
      <c r="X11" s="822"/>
      <c r="Y11" s="822"/>
      <c r="Z11" s="822"/>
      <c r="AA11" s="822"/>
      <c r="AB11" s="822"/>
      <c r="AC11" s="588"/>
      <c r="AD11" s="822"/>
      <c r="AE11" s="822"/>
      <c r="AF11" s="822"/>
      <c r="AG11" s="822"/>
      <c r="AH11" s="822"/>
      <c r="AI11" s="822"/>
      <c r="AJ11" s="822"/>
      <c r="AK11" s="588"/>
      <c r="AL11" s="822"/>
      <c r="AM11" s="525"/>
      <c r="AO11" s="1851"/>
      <c r="AP11" s="1851" t="str">
        <f>IF(T11="","",T11)</f>
        <v>Добавить группу потребителей</v>
      </c>
      <c r="AQ11" s="1851"/>
      <c r="AR11" s="1851"/>
    </row>
    <row customHeight="1" ht="14.25" hidden="1">
      <c r="A12" s="1494"/>
      <c r="B12" s="1494"/>
      <c r="C12" s="1494"/>
      <c r="D12" s="1494"/>
      <c r="E12" s="2424"/>
      <c r="F12" s="2424"/>
      <c r="G12" s="2424"/>
      <c r="H12" s="2423"/>
      <c r="I12" s="1494"/>
      <c r="J12" s="1494"/>
      <c r="K12" s="1494"/>
      <c r="L12" s="1537"/>
      <c r="M12" s="1837"/>
      <c r="N12" s="1837"/>
      <c r="O12" s="1862"/>
      <c r="P12" s="582"/>
      <c r="Q12" s="597"/>
      <c r="R12" s="577"/>
      <c r="S12" s="1505"/>
      <c r="T12" s="587" t="s">
        <v>519</v>
      </c>
      <c r="U12" s="822"/>
      <c r="V12" s="822"/>
      <c r="W12" s="822"/>
      <c r="X12" s="822"/>
      <c r="Y12" s="822"/>
      <c r="Z12" s="822"/>
      <c r="AA12" s="822"/>
      <c r="AB12" s="822"/>
      <c r="AC12" s="588"/>
      <c r="AD12" s="822"/>
      <c r="AE12" s="822"/>
      <c r="AF12" s="822"/>
      <c r="AG12" s="822"/>
      <c r="AH12" s="822"/>
      <c r="AI12" s="822"/>
      <c r="AJ12" s="822"/>
      <c r="AK12" s="588"/>
      <c r="AL12" s="822"/>
      <c r="AM12" s="525"/>
      <c r="AO12" s="1851"/>
      <c r="AP12" s="1851" t="str">
        <f>IF(T12="","",T12)</f>
        <v>Добавить схему подключения</v>
      </c>
      <c r="AQ12" s="1851"/>
      <c r="AR12" s="1851"/>
    </row>
    <row s="16654" customFormat="1" customHeight="1" ht="0.75" hidden="1">
      <c r="A13" s="2203"/>
      <c r="B13" s="2203"/>
      <c r="C13" s="2203"/>
      <c r="D13" s="2203"/>
      <c r="E13" s="2424"/>
      <c r="F13" s="2424"/>
      <c r="G13" s="2423"/>
      <c r="H13" s="2203"/>
      <c r="I13" s="2203"/>
      <c r="J13" s="2203"/>
      <c r="K13" s="2203"/>
      <c r="L13" s="1607"/>
      <c r="M13" s="1837"/>
      <c r="N13" s="1837"/>
      <c r="O13" s="1862"/>
      <c r="P13" s="1543"/>
      <c r="Q13" s="1544"/>
      <c r="R13" s="1543"/>
      <c r="S13" s="1545"/>
      <c r="T13" s="1546" t="s">
        <v>520</v>
      </c>
      <c r="U13" s="1547"/>
      <c r="V13" s="1547"/>
      <c r="W13" s="1547"/>
      <c r="X13" s="1547"/>
      <c r="Y13" s="1547"/>
      <c r="Z13" s="1547"/>
      <c r="AA13" s="1547"/>
      <c r="AB13" s="1547"/>
      <c r="AC13" s="1547"/>
      <c r="AD13" s="1547"/>
      <c r="AE13" s="1547"/>
      <c r="AF13" s="1547"/>
      <c r="AG13" s="1547"/>
      <c r="AH13" s="1547"/>
      <c r="AI13" s="1547"/>
      <c r="AJ13" s="1547"/>
      <c r="AK13" s="1547"/>
      <c r="AL13" s="1547"/>
      <c r="AM13" s="1547"/>
      <c r="AO13" s="1477"/>
      <c r="AP13" s="1477" t="str">
        <f>IF(T13="","",T13)</f>
        <v>Добавить источник для дифференциации</v>
      </c>
      <c r="AQ13" s="1477"/>
      <c r="AR13" s="1477"/>
    </row>
    <row s="16654" customFormat="1" customHeight="1" ht="0.75" hidden="1">
      <c r="A14" s="2203"/>
      <c r="B14" s="2203"/>
      <c r="C14" s="2203"/>
      <c r="D14" s="2203"/>
      <c r="E14" s="2424"/>
      <c r="F14" s="2423"/>
      <c r="G14" s="2203"/>
      <c r="H14" s="2203"/>
      <c r="I14" s="2203"/>
      <c r="J14" s="2203"/>
      <c r="K14" s="2203"/>
      <c r="L14" s="1607"/>
      <c r="M14" s="2204"/>
      <c r="N14" s="2204"/>
      <c r="O14" s="1862"/>
      <c r="P14" s="1543"/>
      <c r="Q14" s="1544"/>
      <c r="R14" s="1543"/>
      <c r="S14" s="1549"/>
      <c r="T14" s="1550" t="s">
        <v>305</v>
      </c>
      <c r="U14" s="1551"/>
      <c r="V14" s="1551"/>
      <c r="W14" s="1551"/>
      <c r="X14" s="1551"/>
      <c r="Y14" s="1551"/>
      <c r="Z14" s="1551"/>
      <c r="AA14" s="1551"/>
      <c r="AB14" s="1551"/>
      <c r="AC14" s="1551"/>
      <c r="AD14" s="1551"/>
      <c r="AE14" s="1551"/>
      <c r="AF14" s="1551"/>
      <c r="AG14" s="1551"/>
      <c r="AH14" s="1551"/>
      <c r="AI14" s="1551"/>
      <c r="AJ14" s="1551"/>
      <c r="AK14" s="1551"/>
      <c r="AL14" s="1551"/>
      <c r="AM14" s="1551"/>
      <c r="AO14" s="1477"/>
      <c r="AP14" s="1477" t="str">
        <f>IF(T14="","",T14)</f>
        <v>Добавить централизованную систему для дифференциации</v>
      </c>
      <c r="AQ14" s="1477"/>
      <c r="AR14" s="1477"/>
    </row>
    <row s="16654" customFormat="1" customHeight="1" ht="0.75" hidden="1">
      <c r="A15" s="2203"/>
      <c r="B15" s="2203"/>
      <c r="C15" s="2203"/>
      <c r="D15" s="2203"/>
      <c r="E15" s="2423"/>
      <c r="F15" s="2203"/>
      <c r="G15" s="2203"/>
      <c r="H15" s="2203"/>
      <c r="I15" s="2203"/>
      <c r="J15" s="2203"/>
      <c r="K15" s="2203"/>
      <c r="L15" s="1607"/>
      <c r="M15" s="2204"/>
      <c r="N15" s="2204"/>
      <c r="O15" s="1862"/>
      <c r="P15" s="1543"/>
      <c r="Q15" s="1544"/>
      <c r="R15" s="1543"/>
      <c r="S15" s="1549"/>
      <c r="T15" s="1552" t="s">
        <v>358</v>
      </c>
      <c r="U15" s="1551"/>
      <c r="V15" s="1551"/>
      <c r="W15" s="1551"/>
      <c r="X15" s="1551"/>
      <c r="Y15" s="1551"/>
      <c r="Z15" s="1551"/>
      <c r="AA15" s="1551"/>
      <c r="AB15" s="1551"/>
      <c r="AC15" s="1551"/>
      <c r="AD15" s="1551"/>
      <c r="AE15" s="1551"/>
      <c r="AF15" s="1551"/>
      <c r="AG15" s="1551"/>
      <c r="AH15" s="1551"/>
      <c r="AI15" s="1551"/>
      <c r="AJ15" s="1551"/>
      <c r="AK15" s="1551"/>
      <c r="AL15" s="1551"/>
      <c r="AM15" s="1551"/>
      <c r="AO15" s="1477"/>
      <c r="AP15" s="1477" t="str">
        <f>IF(T15="","",T15)</f>
        <v>Добавить территорию для дифференциации</v>
      </c>
      <c r="AQ15" s="1477"/>
      <c r="AR15" s="1477"/>
    </row>
    <row customHeight="1" ht="14.25" hidden="1"/>
    <row customHeight="1" ht="14.25" hidden="1">
      <c r="AD17" s="1587"/>
      <c r="AE17" s="1587"/>
      <c r="AF17" s="1587"/>
      <c r="AG17" s="1588"/>
      <c r="AH17" s="2386"/>
      <c r="AI17" s="2385" t="s">
        <v>63</v>
      </c>
      <c r="AJ17" s="2386"/>
      <c r="AK17" s="2385" t="s">
        <v>63</v>
      </c>
    </row>
    <row customHeight="1" ht="14.25" hidden="1">
      <c r="AD18" s="1587"/>
      <c r="AE18" s="1587"/>
      <c r="AF18" s="1587"/>
      <c r="AG18" s="550" t="str">
        <f>AH17&amp;"-"&amp;AJ17</f>
        <v>-</v>
      </c>
      <c r="AH18" s="2385"/>
      <c r="AI18" s="2385"/>
      <c r="AJ18" s="2385"/>
      <c r="AK18" s="2385"/>
    </row>
    <row customHeight="1" ht="14.25" hidden="1"/>
    <row s="16661" customFormat="1" customHeight="1" ht="14.25" hidden="1">
      <c r="A20" s="1858"/>
      <c r="B20" s="1858"/>
      <c r="C20" s="1858"/>
      <c r="D20" s="1858"/>
      <c r="E20" s="1858"/>
      <c r="F20" s="1858"/>
      <c r="G20" s="1858"/>
      <c r="H20" s="1858"/>
      <c r="I20" s="1858"/>
      <c r="J20" s="1858"/>
      <c r="K20" s="1858"/>
      <c r="L20" s="2167"/>
      <c r="M20" s="2193"/>
      <c r="N20" s="2193"/>
      <c r="O20" s="1572" t="s">
        <v>521</v>
      </c>
      <c r="P20" s="1589"/>
      <c r="Q20" s="1598"/>
      <c r="R20" s="1598"/>
      <c r="S20" s="951"/>
      <c r="Z20" s="1594"/>
      <c r="AB20" s="1594"/>
      <c r="AH20" s="1594"/>
      <c r="AJ20" s="1594"/>
      <c r="AN20" s="1863"/>
      <c r="AO20" s="1863"/>
      <c r="AP20" s="1863"/>
      <c r="AQ20" s="1863"/>
      <c r="AR20" s="1863"/>
    </row>
    <row s="16661" customFormat="1" customHeight="1" ht="14.25" hidden="1">
      <c r="A21" s="1858"/>
      <c r="B21" s="1858"/>
      <c r="C21" s="1858"/>
      <c r="D21" s="1858"/>
      <c r="E21" s="1858"/>
      <c r="F21" s="1858"/>
      <c r="G21" s="1858"/>
      <c r="H21" s="1858"/>
      <c r="I21" s="1858"/>
      <c r="J21" s="1858"/>
      <c r="K21" s="1858"/>
      <c r="L21" s="2167"/>
      <c r="M21" s="2193"/>
      <c r="N21" s="2193"/>
      <c r="O21" s="2193"/>
      <c r="P21" s="1589"/>
      <c r="Q21" s="1598"/>
      <c r="R21" s="1598"/>
      <c r="S21" s="951"/>
      <c r="AN21" s="1863"/>
      <c r="AO21" s="1863"/>
      <c r="AP21" s="1863"/>
      <c r="AQ21" s="1863"/>
      <c r="AR21" s="1863"/>
    </row>
    <row s="16661" customFormat="1" customHeight="1" ht="14.25" hidden="1">
      <c r="A22" s="1858"/>
      <c r="B22" s="1858"/>
      <c r="C22" s="1858"/>
      <c r="D22" s="1858"/>
      <c r="E22" s="1858"/>
      <c r="F22" s="1858"/>
      <c r="G22" s="1858"/>
      <c r="H22" s="1858"/>
      <c r="I22" s="1858"/>
      <c r="J22" s="1858"/>
      <c r="K22" s="1858"/>
      <c r="L22" s="2167"/>
      <c r="M22" s="2193"/>
      <c r="N22" s="2193"/>
      <c r="O22" s="1537" t="s">
        <v>522</v>
      </c>
      <c r="P22" s="1589"/>
      <c r="Q22" s="1598"/>
      <c r="R22" s="1598"/>
      <c r="S22" s="951"/>
      <c r="T22" s="1593" t="s">
        <v>523</v>
      </c>
      <c r="AA22" s="817" t="s">
        <v>524</v>
      </c>
      <c r="AC22" s="817" t="s">
        <v>525</v>
      </c>
      <c r="AD22" s="1593" t="s">
        <v>523</v>
      </c>
      <c r="AI22" s="817" t="s">
        <v>526</v>
      </c>
      <c r="AK22" s="817" t="s">
        <v>525</v>
      </c>
      <c r="AN22" s="1863"/>
      <c r="AO22" s="1863"/>
      <c r="AP22" s="1863"/>
      <c r="AQ22" s="1863"/>
      <c r="AR22" s="1863"/>
    </row>
    <row customHeight="1" ht="14.25" hidden="1">
      <c r="O23" s="1537"/>
    </row>
    <row customHeight="1" ht="14.25" hidden="1">
      <c r="O24" s="1537"/>
    </row>
    <row customHeight="1" ht="14.25">
      <c r="Q25" s="598"/>
      <c r="R25" s="598"/>
      <c r="S25" s="1502"/>
      <c r="T25" s="679"/>
      <c r="U25" s="679"/>
      <c r="V25" s="1862"/>
      <c r="W25" s="1862"/>
      <c r="X25" s="1862"/>
      <c r="Y25" s="1862"/>
      <c r="Z25" s="1862"/>
      <c r="AA25" s="1862"/>
      <c r="AB25" s="1862"/>
      <c r="AC25" s="1862"/>
      <c r="AD25" s="1862"/>
      <c r="AE25" s="1862"/>
      <c r="AF25" s="1862"/>
      <c r="AG25" s="1862"/>
      <c r="AH25" s="1862"/>
      <c r="AI25" s="1862"/>
      <c r="AJ25" s="1862"/>
      <c r="AK25" s="1862"/>
    </row>
    <row customHeight="1" ht="14.25">
      <c r="Q26" s="598"/>
      <c r="R26" s="598"/>
      <c r="S26" s="24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1"/>
      <c r="U26" s="2421"/>
      <c r="V26" s="2421"/>
      <c r="W26" s="2421"/>
      <c r="X26" s="2421"/>
      <c r="Y26" s="2421"/>
      <c r="Z26" s="2421"/>
      <c r="AA26" s="2421"/>
      <c r="AB26" s="2421"/>
      <c r="AC26" s="2421"/>
      <c r="AD26" s="2421"/>
      <c r="AE26" s="2421"/>
      <c r="AF26" s="2421"/>
      <c r="AG26" s="2421"/>
      <c r="AH26" s="2421"/>
      <c r="AI26" s="2421"/>
      <c r="AJ26" s="2421"/>
      <c r="AK26" s="1469"/>
    </row>
    <row customHeight="1" ht="14.25">
      <c r="Q27" s="598"/>
      <c r="R27" s="598"/>
      <c r="S27" s="2422" t="str">
        <f>IF(org=0,"Не определено",org)</f>
        <v>КГУП "Примтеплоэнерго"</v>
      </c>
      <c r="T27" s="2422"/>
      <c r="U27" s="2422"/>
      <c r="V27" s="2422"/>
      <c r="W27" s="2422"/>
      <c r="X27" s="2422"/>
      <c r="Y27" s="2422"/>
      <c r="Z27" s="2422"/>
      <c r="AA27" s="2422"/>
      <c r="AB27" s="2422"/>
      <c r="AC27" s="2422"/>
      <c r="AD27" s="2422"/>
      <c r="AE27" s="2422"/>
      <c r="AF27" s="2422"/>
      <c r="AG27" s="2422"/>
      <c r="AH27" s="2422"/>
      <c r="AI27" s="2422"/>
      <c r="AJ27" s="2422"/>
      <c r="AK27" s="1469"/>
    </row>
    <row customHeight="1" ht="14.25" hidden="1">
      <c r="Q28" s="598"/>
      <c r="R28" s="598"/>
      <c r="S28" s="1502"/>
      <c r="T28" s="679"/>
      <c r="U28" s="679"/>
      <c r="V28" s="544"/>
      <c r="W28" s="544"/>
      <c r="X28" s="544"/>
      <c r="Y28" s="544"/>
      <c r="Z28" s="544"/>
      <c r="AA28" s="544"/>
      <c r="AB28" s="544"/>
      <c r="AC28" s="544"/>
      <c r="AD28" s="544"/>
      <c r="AE28" s="544"/>
      <c r="AF28" s="544"/>
      <c r="AG28" s="544"/>
      <c r="AH28" s="544"/>
      <c r="AI28" s="544"/>
      <c r="AJ28" s="544"/>
      <c r="AK28" s="544"/>
      <c r="AL28" s="1862"/>
    </row>
    <row s="16563" customFormat="1" customHeight="1" ht="25.5" hidden="1">
      <c r="A29" s="1474"/>
      <c r="B29" s="1474"/>
      <c r="C29" s="1474"/>
      <c r="D29" s="1474"/>
      <c r="E29" s="1474"/>
      <c r="F29" s="1474"/>
      <c r="G29" s="1474"/>
      <c r="H29" s="1474"/>
      <c r="I29" s="1474"/>
      <c r="J29" s="1474"/>
      <c r="K29" s="1474"/>
      <c r="L29" s="1607"/>
      <c r="M29" s="1474"/>
      <c r="N29" s="1474"/>
      <c r="O29" s="1474"/>
      <c r="S29" s="2379" t="s">
        <v>38</v>
      </c>
      <c r="T29" s="2379"/>
      <c r="U29" s="1599"/>
      <c r="V29" s="2381" t="str">
        <f>IF(TITLE_NAME_OR_PR_CHANGE="",IF(TITLE_NAME_OR_PR="","",TITLE_NAME_OR_PR),TITLE_NAME_OR_PR_CHANGE)</f>
        <v/>
      </c>
      <c r="W29" s="2381"/>
      <c r="X29" s="2381"/>
      <c r="Y29" s="2381"/>
      <c r="Z29" s="2381"/>
      <c r="AA29" s="2381"/>
      <c r="AB29" s="2381"/>
      <c r="AC29" s="1862"/>
      <c r="AD29" s="2381" t="str">
        <f>IF(TITLE_NAME_OR_PR_CHANGE="",IF(TITLE_NAME_OR_PR="","",TITLE_NAME_OR_PR),TITLE_NAME_OR_PR_CHANGE)</f>
        <v/>
      </c>
      <c r="AE29" s="2381"/>
      <c r="AF29" s="2381"/>
      <c r="AG29" s="2381"/>
      <c r="AH29" s="2381"/>
      <c r="AI29" s="2381"/>
      <c r="AJ29" s="2381"/>
      <c r="AK29" s="1862"/>
      <c r="AL29" s="1862"/>
      <c r="AM29" s="502"/>
      <c r="AN29" s="590"/>
      <c r="AO29" s="590"/>
      <c r="AP29" s="590"/>
      <c r="AQ29" s="590"/>
      <c r="AR29" s="590"/>
    </row>
    <row s="16563" customFormat="1" customHeight="1" ht="18.75" hidden="1">
      <c r="A30" s="1474"/>
      <c r="B30" s="1474"/>
      <c r="C30" s="1474"/>
      <c r="D30" s="1474"/>
      <c r="E30" s="1474"/>
      <c r="F30" s="1474"/>
      <c r="G30" s="1474"/>
      <c r="H30" s="1474"/>
      <c r="I30" s="1474"/>
      <c r="J30" s="1474"/>
      <c r="K30" s="1474"/>
      <c r="L30" s="1607"/>
      <c r="M30" s="1474"/>
      <c r="N30" s="1474"/>
      <c r="O30" s="1474"/>
      <c r="S30" s="2379" t="s">
        <v>527</v>
      </c>
      <c r="T30" s="2379"/>
      <c r="U30" s="1599"/>
      <c r="V30" s="2380" t="str">
        <f>IF(TITLE_DATE_PR_CHANGE="",IF(TITLE_DATE_PR="","",TITLE_DATE_PR),TITLE_DATE_PR_CHANGE)</f>
        <v>45407.47206018519</v>
      </c>
      <c r="W30" s="2380"/>
      <c r="X30" s="2380"/>
      <c r="Y30" s="2380"/>
      <c r="Z30" s="2380"/>
      <c r="AA30" s="2380"/>
      <c r="AB30" s="2380"/>
      <c r="AC30" s="1862"/>
      <c r="AD30" s="2380" t="str">
        <f>IF(TITLE_DATE_PR_CHANGE="",IF(TITLE_DATE_PR="","",TITLE_DATE_PR),TITLE_DATE_PR_CHANGE)</f>
        <v>45407.47206018519</v>
      </c>
      <c r="AE30" s="2380"/>
      <c r="AF30" s="2380"/>
      <c r="AG30" s="2380"/>
      <c r="AH30" s="2380"/>
      <c r="AI30" s="2380"/>
      <c r="AJ30" s="2380"/>
      <c r="AK30" s="1862"/>
      <c r="AL30" s="1862"/>
      <c r="AM30" s="502"/>
      <c r="AN30" s="590"/>
      <c r="AO30" s="590"/>
      <c r="AP30" s="590"/>
      <c r="AQ30" s="590"/>
      <c r="AR30" s="590"/>
    </row>
    <row s="16563" customFormat="1" customHeight="1" ht="18.75" hidden="1">
      <c r="A31" s="1474"/>
      <c r="B31" s="1474"/>
      <c r="C31" s="1474"/>
      <c r="D31" s="1474"/>
      <c r="E31" s="1474"/>
      <c r="F31" s="1474"/>
      <c r="G31" s="1474"/>
      <c r="H31" s="1474"/>
      <c r="I31" s="1474"/>
      <c r="J31" s="1474"/>
      <c r="K31" s="1474"/>
      <c r="L31" s="1607"/>
      <c r="M31" s="1474"/>
      <c r="N31" s="1474"/>
      <c r="O31" s="1474"/>
      <c r="S31" s="2379" t="s">
        <v>528</v>
      </c>
      <c r="T31" s="2379"/>
      <c r="U31" s="1599"/>
      <c r="V31" s="2381" t="str">
        <f>IF(TITLE_NUMBER_PR_CHANGE="",IF(TITLE_NUMBER_PR="","",TITLE_NUMBER_PR),TITLE_NUMBER_PR_CHANGE)</f>
        <v>27-2067</v>
      </c>
      <c r="W31" s="2381"/>
      <c r="X31" s="2381"/>
      <c r="Y31" s="2381"/>
      <c r="Z31" s="2381"/>
      <c r="AA31" s="2381"/>
      <c r="AB31" s="2381"/>
      <c r="AC31" s="1862"/>
      <c r="AD31" s="2381" t="str">
        <f>IF(TITLE_NUMBER_PR_CHANGE="",IF(TITLE_NUMBER_PR="","",TITLE_NUMBER_PR),TITLE_NUMBER_PR_CHANGE)</f>
        <v>27-2067</v>
      </c>
      <c r="AE31" s="2381"/>
      <c r="AF31" s="2381"/>
      <c r="AG31" s="2381"/>
      <c r="AH31" s="2381"/>
      <c r="AI31" s="2381"/>
      <c r="AJ31" s="2381"/>
      <c r="AK31" s="1862"/>
      <c r="AL31" s="1862"/>
      <c r="AM31" s="502"/>
      <c r="AN31" s="590"/>
      <c r="AO31" s="590"/>
      <c r="AP31" s="590"/>
      <c r="AQ31" s="590"/>
      <c r="AR31" s="590"/>
    </row>
    <row s="16563" customFormat="1" customHeight="1" ht="18.75" hidden="1">
      <c r="A32" s="1474"/>
      <c r="B32" s="1474"/>
      <c r="C32" s="1474"/>
      <c r="D32" s="1474"/>
      <c r="E32" s="1474"/>
      <c r="F32" s="1474"/>
      <c r="G32" s="1474"/>
      <c r="H32" s="1474"/>
      <c r="I32" s="1474"/>
      <c r="J32" s="1474"/>
      <c r="K32" s="1474"/>
      <c r="L32" s="1607"/>
      <c r="M32" s="1474"/>
      <c r="N32" s="1474"/>
      <c r="O32" s="1474"/>
      <c r="S32" s="2379" t="s">
        <v>39</v>
      </c>
      <c r="T32" s="2379"/>
      <c r="U32" s="1599"/>
      <c r="V32" s="2381" t="str">
        <f>IF(TITLE_IST_PUB_CHANGE="",IF(TITLE_IST_PUB="","",TITLE_IST_PUB),TITLE_IST_PUB_CHANGE)</f>
        <v/>
      </c>
      <c r="W32" s="2381"/>
      <c r="X32" s="2381"/>
      <c r="Y32" s="2381"/>
      <c r="Z32" s="2381"/>
      <c r="AA32" s="2381"/>
      <c r="AB32" s="2381"/>
      <c r="AC32" s="1862"/>
      <c r="AD32" s="2381" t="str">
        <f>IF(TITLE_IST_PUB_CHANGE="",IF(TITLE_IST_PUB="","",TITLE_IST_PUB),TITLE_IST_PUB_CHANGE)</f>
        <v/>
      </c>
      <c r="AE32" s="2381"/>
      <c r="AF32" s="2381"/>
      <c r="AG32" s="2381"/>
      <c r="AH32" s="2381"/>
      <c r="AI32" s="2381"/>
      <c r="AJ32" s="2381"/>
      <c r="AK32" s="1862"/>
      <c r="AL32" s="1862"/>
      <c r="AM32" s="502"/>
      <c r="AN32" s="590"/>
      <c r="AO32" s="590"/>
      <c r="AP32" s="590"/>
      <c r="AQ32" s="590"/>
      <c r="AR32" s="590"/>
    </row>
    <row customHeight="1" ht="14.25" hidden="1">
      <c r="Q33" s="598"/>
      <c r="R33" s="598"/>
      <c r="S33" s="1502"/>
      <c r="T33" s="679"/>
      <c r="U33" s="679"/>
      <c r="V33" s="544"/>
      <c r="W33" s="544"/>
      <c r="X33" s="544"/>
      <c r="Y33" s="544"/>
      <c r="Z33" s="544"/>
      <c r="AA33" s="544"/>
      <c r="AB33" s="544"/>
      <c r="AC33" s="544"/>
      <c r="AD33" s="544"/>
      <c r="AE33" s="544"/>
      <c r="AF33" s="544"/>
      <c r="AG33" s="544"/>
      <c r="AH33" s="544"/>
      <c r="AI33" s="544"/>
      <c r="AJ33" s="544"/>
      <c r="AK33" s="544"/>
      <c r="AL33" s="1862"/>
    </row>
    <row s="16563" customFormat="1" customHeight="1" ht="18.75" hidden="1">
      <c r="A34" s="1474"/>
      <c r="B34" s="1474"/>
      <c r="C34" s="1474"/>
      <c r="D34" s="1474"/>
      <c r="E34" s="1474"/>
      <c r="F34" s="1474"/>
      <c r="G34" s="1474"/>
      <c r="H34" s="1474"/>
      <c r="I34" s="1474"/>
      <c r="J34" s="1474"/>
      <c r="K34" s="1474"/>
      <c r="L34" s="1607"/>
      <c r="M34" s="1474"/>
      <c r="N34" s="1474"/>
      <c r="O34" s="1474"/>
      <c r="S34" s="2379" t="s">
        <v>529</v>
      </c>
      <c r="T34" s="2379"/>
      <c r="U34" s="1599"/>
      <c r="V34" s="2380" t="str">
        <f>IF(TITLE_DATE_PR_CHANGE="",IF(TITLE_DATE_PR="","",TITLE_DATE_PR),TITLE_DATE_PR_CHANGE)</f>
        <v>45407.47206018519</v>
      </c>
      <c r="W34" s="2380"/>
      <c r="X34" s="2380"/>
      <c r="Y34" s="2380"/>
      <c r="Z34" s="2380"/>
      <c r="AA34" s="2380"/>
      <c r="AB34" s="2380"/>
      <c r="AC34" s="1862"/>
      <c r="AD34" s="2380" t="str">
        <f>IF(TITLE_DATE_PR_CHANGE="",IF(TITLE_DATE_PR="","",TITLE_DATE_PR),TITLE_DATE_PR_CHANGE)</f>
        <v>45407.47206018519</v>
      </c>
      <c r="AE34" s="2380"/>
      <c r="AF34" s="2380"/>
      <c r="AG34" s="2380"/>
      <c r="AH34" s="2380"/>
      <c r="AI34" s="2380"/>
      <c r="AJ34" s="2380"/>
      <c r="AK34" s="1862"/>
      <c r="AL34" s="1862"/>
      <c r="AM34" s="502"/>
      <c r="AN34" s="590"/>
      <c r="AO34" s="590"/>
      <c r="AP34" s="590"/>
      <c r="AQ34" s="590"/>
      <c r="AR34" s="590"/>
    </row>
    <row s="16563" customFormat="1" customHeight="1" ht="18.75" hidden="1">
      <c r="A35" s="1474"/>
      <c r="B35" s="1474"/>
      <c r="C35" s="1474"/>
      <c r="D35" s="1474"/>
      <c r="E35" s="1474"/>
      <c r="F35" s="1474"/>
      <c r="G35" s="1474"/>
      <c r="H35" s="1474"/>
      <c r="I35" s="1474"/>
      <c r="J35" s="1474"/>
      <c r="K35" s="1474"/>
      <c r="L35" s="1607"/>
      <c r="M35" s="1474"/>
      <c r="N35" s="1474"/>
      <c r="O35" s="1474"/>
      <c r="S35" s="2379" t="s">
        <v>530</v>
      </c>
      <c r="T35" s="2379"/>
      <c r="U35" s="1599"/>
      <c r="V35" s="2381" t="str">
        <f>IF(TITLE_NUMBER_PR_CHANGE="",IF(TITLE_NUMBER_PR="","",TITLE_NUMBER_PR),TITLE_NUMBER_PR_CHANGE)</f>
        <v>27-2067</v>
      </c>
      <c r="W35" s="2381"/>
      <c r="X35" s="2381"/>
      <c r="Y35" s="2381"/>
      <c r="Z35" s="2381"/>
      <c r="AA35" s="2381"/>
      <c r="AB35" s="2381"/>
      <c r="AC35" s="1862"/>
      <c r="AD35" s="2381" t="str">
        <f>IF(TITLE_NUMBER_PR_CHANGE="",IF(TITLE_NUMBER_PR="","",TITLE_NUMBER_PR),TITLE_NUMBER_PR_CHANGE)</f>
        <v>27-2067</v>
      </c>
      <c r="AE35" s="2381"/>
      <c r="AF35" s="2381"/>
      <c r="AG35" s="2381"/>
      <c r="AH35" s="2381"/>
      <c r="AI35" s="2381"/>
      <c r="AJ35" s="2381"/>
      <c r="AK35" s="1862"/>
      <c r="AL35" s="1862"/>
      <c r="AM35" s="502"/>
      <c r="AN35" s="590"/>
      <c r="AO35" s="590"/>
      <c r="AP35" s="590"/>
      <c r="AQ35" s="590"/>
      <c r="AR35" s="590"/>
    </row>
    <row s="16563" customFormat="1" customHeight="1" ht="0">
      <c r="A36" s="1474"/>
      <c r="B36" s="1474"/>
      <c r="C36" s="1474"/>
      <c r="D36" s="1474"/>
      <c r="E36" s="1474"/>
      <c r="F36" s="1474"/>
      <c r="G36" s="1474"/>
      <c r="H36" s="1474"/>
      <c r="I36" s="1474"/>
      <c r="J36" s="1474"/>
      <c r="K36" s="1474"/>
      <c r="L36" s="1607"/>
      <c r="M36" s="1474"/>
      <c r="N36" s="1474"/>
      <c r="O36" s="1474"/>
      <c r="S36" s="1862"/>
      <c r="T36" s="1862"/>
      <c r="U36" s="2198"/>
      <c r="V36" s="1862"/>
      <c r="W36" s="1862"/>
      <c r="X36" s="1862"/>
      <c r="Y36" s="1862"/>
      <c r="Z36" s="1862"/>
      <c r="AA36" s="1862"/>
      <c r="AB36" s="1862"/>
      <c r="AC36" s="1869" t="s">
        <v>531</v>
      </c>
      <c r="AD36" s="1862"/>
      <c r="AE36" s="1862"/>
      <c r="AF36" s="1862"/>
      <c r="AG36" s="1862"/>
      <c r="AH36" s="1862"/>
      <c r="AI36" s="1862"/>
      <c r="AJ36" s="1862"/>
      <c r="AK36" s="1869" t="s">
        <v>531</v>
      </c>
      <c r="AN36" s="590"/>
      <c r="AO36" s="590"/>
      <c r="AP36" s="590"/>
      <c r="AQ36" s="590"/>
      <c r="AR36" s="590"/>
    </row>
    <row customHeight="1" ht="14.25">
      <c r="Q37" s="598"/>
      <c r="R37" s="598"/>
      <c r="S37" s="1502"/>
      <c r="T37" s="679"/>
      <c r="U37" s="1470"/>
      <c r="V37" s="2405"/>
      <c r="W37" s="2405"/>
      <c r="X37" s="2405"/>
      <c r="Y37" s="2405"/>
      <c r="Z37" s="2405"/>
      <c r="AA37" s="2405"/>
      <c r="AB37" s="2405"/>
      <c r="AC37" s="2405"/>
      <c r="AD37" s="2405"/>
      <c r="AE37" s="2405"/>
      <c r="AF37" s="2405"/>
      <c r="AG37" s="2405"/>
      <c r="AH37" s="2405"/>
      <c r="AI37" s="2405"/>
      <c r="AJ37" s="2405"/>
      <c r="AK37" s="2405"/>
    </row>
    <row customHeight="1" ht="14.25">
      <c r="Q38" s="598"/>
      <c r="R38" s="598"/>
      <c r="S38" s="2253" t="s">
        <v>406</v>
      </c>
      <c r="T38" s="2253"/>
      <c r="U38" s="2253"/>
      <c r="V38" s="2253"/>
      <c r="W38" s="2253"/>
      <c r="X38" s="2253"/>
      <c r="Y38" s="2253"/>
      <c r="Z38" s="2253"/>
      <c r="AA38" s="2253"/>
      <c r="AB38" s="2253"/>
      <c r="AC38" s="2253"/>
      <c r="AD38" s="2253"/>
      <c r="AE38" s="2253"/>
      <c r="AF38" s="2253"/>
      <c r="AG38" s="2253"/>
      <c r="AH38" s="2253"/>
      <c r="AI38" s="2253"/>
      <c r="AJ38" s="2253"/>
      <c r="AK38" s="2253"/>
      <c r="AL38" s="2253"/>
      <c r="AM38" s="2253" t="s">
        <v>407</v>
      </c>
    </row>
    <row customHeight="1" ht="14.25">
      <c r="Q39" s="598"/>
      <c r="R39" s="598"/>
      <c r="S39" s="2406" t="s">
        <v>84</v>
      </c>
      <c r="T39" s="2343" t="s">
        <v>532</v>
      </c>
      <c r="U39" s="559"/>
      <c r="V39" s="2407" t="s">
        <v>533</v>
      </c>
      <c r="W39" s="2408"/>
      <c r="X39" s="2408"/>
      <c r="Y39" s="2408"/>
      <c r="Z39" s="2408"/>
      <c r="AA39" s="2408"/>
      <c r="AB39" s="2409"/>
      <c r="AC39" s="2410" t="s">
        <v>534</v>
      </c>
      <c r="AD39" s="2407" t="s">
        <v>533</v>
      </c>
      <c r="AE39" s="2408"/>
      <c r="AF39" s="2408"/>
      <c r="AG39" s="2408"/>
      <c r="AH39" s="2408"/>
      <c r="AI39" s="2408"/>
      <c r="AJ39" s="2409"/>
      <c r="AK39" s="2410" t="s">
        <v>535</v>
      </c>
      <c r="AL39" s="2413" t="s">
        <v>536</v>
      </c>
      <c r="AM39" s="2253"/>
    </row>
    <row customHeight="1" ht="33.75">
      <c r="Q40" s="598"/>
      <c r="R40" s="598"/>
      <c r="S40" s="2406"/>
      <c r="T40" s="2343"/>
      <c r="U40" s="1254"/>
      <c r="V40" s="2416" t="s">
        <v>537</v>
      </c>
      <c r="W40" s="2397" t="s">
        <v>538</v>
      </c>
      <c r="X40" s="2399" t="s">
        <v>539</v>
      </c>
      <c r="Y40" s="2401"/>
      <c r="Z40" s="2399" t="s">
        <v>552</v>
      </c>
      <c r="AA40" s="2400"/>
      <c r="AB40" s="2401"/>
      <c r="AC40" s="2411"/>
      <c r="AD40" s="2416" t="s">
        <v>537</v>
      </c>
      <c r="AE40" s="2397" t="s">
        <v>538</v>
      </c>
      <c r="AF40" s="2399" t="s">
        <v>539</v>
      </c>
      <c r="AG40" s="2401"/>
      <c r="AH40" s="2399" t="s">
        <v>540</v>
      </c>
      <c r="AI40" s="2400"/>
      <c r="AJ40" s="2401"/>
      <c r="AK40" s="2411"/>
      <c r="AL40" s="2414"/>
      <c r="AM40" s="2253"/>
    </row>
    <row customHeight="1" ht="33.75">
      <c r="A41" s="1493"/>
      <c r="B41" s="1493" t="s">
        <v>191</v>
      </c>
      <c r="C41" s="1493" t="s">
        <v>192</v>
      </c>
      <c r="D41" s="1493" t="s">
        <v>193</v>
      </c>
      <c r="E41" s="1537" t="s">
        <v>541</v>
      </c>
      <c r="F41" s="1537" t="s">
        <v>542</v>
      </c>
      <c r="G41" s="1537" t="s">
        <v>543</v>
      </c>
      <c r="H41" s="1537" t="s">
        <v>544</v>
      </c>
      <c r="I41" s="1537" t="s">
        <v>545</v>
      </c>
      <c r="J41" s="1537" t="s">
        <v>546</v>
      </c>
      <c r="K41" s="1537" t="s">
        <v>547</v>
      </c>
      <c r="L41" s="1537" t="s">
        <v>522</v>
      </c>
      <c r="Q41" s="598"/>
      <c r="R41" s="598"/>
      <c r="S41" s="2406"/>
      <c r="T41" s="2343"/>
      <c r="U41" s="524"/>
      <c r="V41" s="2417"/>
      <c r="W41" s="2398"/>
      <c r="X41" s="2166" t="s">
        <v>548</v>
      </c>
      <c r="Y41" s="2166" t="s">
        <v>549</v>
      </c>
      <c r="Z41" s="2166" t="s">
        <v>550</v>
      </c>
      <c r="AA41" s="2402" t="s">
        <v>551</v>
      </c>
      <c r="AB41" s="2403"/>
      <c r="AC41" s="2412"/>
      <c r="AD41" s="2417"/>
      <c r="AE41" s="2398"/>
      <c r="AF41" s="2166" t="s">
        <v>548</v>
      </c>
      <c r="AG41" s="2166" t="s">
        <v>549</v>
      </c>
      <c r="AH41" s="2166" t="s">
        <v>550</v>
      </c>
      <c r="AI41" s="2402" t="s">
        <v>551</v>
      </c>
      <c r="AJ41" s="2403"/>
      <c r="AK41" s="2412"/>
      <c r="AL41" s="2415"/>
      <c r="AM41" s="2253"/>
    </row>
    <row s="16671" customFormat="1" customHeight="1" ht="11.25" hidden="1">
      <c r="A42" s="1493"/>
      <c r="B42" s="1493"/>
      <c r="C42" s="1493"/>
      <c r="D42" s="1493"/>
      <c r="E42" s="1493"/>
      <c r="F42" s="1493"/>
      <c r="G42" s="1493"/>
      <c r="H42" s="1493"/>
      <c r="I42" s="1493"/>
      <c r="J42" s="1493"/>
      <c r="K42" s="1493"/>
      <c r="L42" s="1537"/>
      <c r="M42" s="2193"/>
      <c r="N42" s="2193"/>
      <c r="O42" s="2193"/>
      <c r="P42" s="1472"/>
      <c r="Q42" s="1473"/>
      <c r="R42" s="1480">
        <v>1</v>
      </c>
      <c r="S42" s="1504" t="s">
        <v>168</v>
      </c>
      <c r="T42" s="1481" t="s">
        <v>99</v>
      </c>
      <c r="U42" s="1471" t="str">
        <f>OFFSET(U42,0,-1)</f>
        <v>2</v>
      </c>
      <c r="V42" s="2184">
        <f>OFFSET(V42,0,-1)+1</f>
        <v>3</v>
      </c>
      <c r="W42" s="2184"/>
      <c r="X42" s="2184">
        <f>OFFSET(X42,0,-1)+1</f>
        <v>1</v>
      </c>
      <c r="Y42" s="2184">
        <f>OFFSET(Y42,0,-1)+1</f>
        <v>2</v>
      </c>
      <c r="Z42" s="2184">
        <f>OFFSET(Z42,0,-1)+1</f>
        <v>3</v>
      </c>
      <c r="AA42" s="2404">
        <f>OFFSET(AA42,0,-1)+1</f>
        <v>4</v>
      </c>
      <c r="AB42" s="2404"/>
      <c r="AC42" s="2184">
        <f>OFFSET(AC42,0,-2)+1</f>
        <v>5</v>
      </c>
      <c r="AD42" s="2184">
        <f>OFFSET(AD42,0,-1)+1</f>
        <v>6</v>
      </c>
      <c r="AE42" s="2184"/>
      <c r="AF42" s="2184">
        <f>OFFSET(AF42,0,-1)+1</f>
        <v>1</v>
      </c>
      <c r="AG42" s="2184">
        <f>OFFSET(AG42,0,-1)+1</f>
        <v>2</v>
      </c>
      <c r="AH42" s="2184">
        <f>OFFSET(AH42,0,-1)+1</f>
        <v>3</v>
      </c>
      <c r="AI42" s="2404">
        <f>OFFSET(AI42,0,-1)+1</f>
        <v>4</v>
      </c>
      <c r="AJ42" s="2404"/>
      <c r="AK42" s="2184">
        <f>OFFSET(AK42,0,-2)+1</f>
        <v>5</v>
      </c>
      <c r="AL42" s="1471">
        <f>OFFSET(AL42,0,-1)</f>
        <v>5</v>
      </c>
      <c r="AM42" s="2184">
        <f>OFFSET(AM42,0,-1)+1</f>
        <v>6</v>
      </c>
      <c r="AN42" s="1863"/>
      <c r="AO42" s="1863"/>
      <c r="AP42" s="1863"/>
      <c r="AQ42" s="1863"/>
      <c r="AR42" s="1863"/>
    </row>
    <row customHeight="1" ht="21">
      <c r="A43" s="1494" t="s">
        <v>260</v>
      </c>
      <c r="B43" s="1494"/>
      <c r="C43" s="1494"/>
      <c r="D43" s="1494"/>
      <c r="E43" s="2423">
        <v>1</v>
      </c>
      <c r="F43" s="1494"/>
      <c r="G43" s="1494"/>
      <c r="H43" s="1494"/>
      <c r="I43" s="1494"/>
      <c r="J43" s="1494"/>
      <c r="K43" s="1494"/>
      <c r="L43" s="1537"/>
      <c r="M43" s="1837"/>
      <c r="N43" s="1837"/>
      <c r="O43" s="1837"/>
      <c r="P43" s="1817"/>
      <c r="Q43" s="582"/>
      <c r="R43" s="577"/>
      <c r="S43" s="2186">
        <f>INDEX(PT_DIFFERENTIATION_NUM_NTAR,MATCH(A43,PT_DIFFERENTIATION_NTAR_ID,0))</f>
        <v>0</v>
      </c>
      <c r="T43" s="1752" t="s">
        <v>179</v>
      </c>
      <c r="U43" s="522"/>
      <c r="V43" s="2382"/>
      <c r="W43" s="2383"/>
      <c r="X43" s="2383"/>
      <c r="Y43" s="2383"/>
      <c r="Z43" s="2383"/>
      <c r="AA43" s="2383"/>
      <c r="AB43" s="2383"/>
      <c r="AC43" s="2384"/>
      <c r="AD43" s="2382" t="str">
        <f>INDEX(PT_DIFFERENTIATION_NTAR,MATCH(A43,PT_DIFFERENTIATION_NTAR_ID,0))</f>
        <v/>
      </c>
      <c r="AE43" s="2383"/>
      <c r="AF43" s="2383"/>
      <c r="AG43" s="2383"/>
      <c r="AH43" s="2383"/>
      <c r="AI43" s="2383"/>
      <c r="AJ43" s="2383"/>
      <c r="AK43" s="2383"/>
      <c r="AL43" s="2384"/>
      <c r="AM43" s="14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row>
    <row customHeight="1" ht="21">
      <c r="A44" s="1494" t="s">
        <v>260</v>
      </c>
      <c r="B44" s="1494" t="s">
        <v>261</v>
      </c>
      <c r="C44" s="1494"/>
      <c r="D44" s="1494"/>
      <c r="E44" s="2424"/>
      <c r="F44" s="2423">
        <v>1</v>
      </c>
      <c r="G44" s="1494"/>
      <c r="H44" s="1494"/>
      <c r="I44" s="1494"/>
      <c r="J44" s="1494"/>
      <c r="K44" s="1494"/>
      <c r="L44" s="1537"/>
      <c r="M44" s="1837"/>
      <c r="N44" s="1837"/>
      <c r="O44" s="1837"/>
      <c r="P44" s="2168"/>
      <c r="Q44" s="574"/>
      <c r="R44" s="575"/>
      <c r="S44" s="2186" t="str">
        <f>INDEX(PT_DIFFERENTIATION_NUM_TER,MATCH(B44,PT_DIFFERENTIATION_TER_ID,0))</f>
        <v>.</v>
      </c>
      <c r="T44" s="1749" t="s">
        <v>503</v>
      </c>
      <c r="U44" s="522"/>
      <c r="V44" s="2382"/>
      <c r="W44" s="2383"/>
      <c r="X44" s="2383"/>
      <c r="Y44" s="2383"/>
      <c r="Z44" s="2383"/>
      <c r="AA44" s="2383"/>
      <c r="AB44" s="2383"/>
      <c r="AC44" s="2384"/>
      <c r="AD44" s="2382" t="str">
        <f>INDEX(PT_DIFFERENTIATION_TER,MATCH(B44,PT_DIFFERENTIATION_TER_ID,0))</f>
        <v/>
      </c>
      <c r="AE44" s="2383"/>
      <c r="AF44" s="2383"/>
      <c r="AG44" s="2383"/>
      <c r="AH44" s="2383"/>
      <c r="AI44" s="2383"/>
      <c r="AJ44" s="2383"/>
      <c r="AK44" s="2383"/>
      <c r="AL44" s="2384"/>
      <c r="AM44" s="1484" t="s">
        <v>504</v>
      </c>
      <c r="AO44" s="1851"/>
      <c r="AP44" s="1851" t="str">
        <f>IF(T44="","",T44)</f>
        <v>Территория действия тарифа</v>
      </c>
      <c r="AQ44" s="1851"/>
      <c r="AR44" s="1851"/>
    </row>
    <row customHeight="1" ht="23.25">
      <c r="A45" s="1494" t="s">
        <v>260</v>
      </c>
      <c r="B45" s="1494" t="s">
        <v>261</v>
      </c>
      <c r="C45" s="1494" t="s">
        <v>262</v>
      </c>
      <c r="D45" s="1494"/>
      <c r="E45" s="2424"/>
      <c r="F45" s="2424"/>
      <c r="G45" s="2423">
        <v>1</v>
      </c>
      <c r="H45" s="1494"/>
      <c r="I45" s="1494"/>
      <c r="J45" s="1494"/>
      <c r="K45" s="1494"/>
      <c r="L45" s="1537"/>
      <c r="M45" s="1837"/>
      <c r="N45" s="1837"/>
      <c r="O45" s="1837"/>
      <c r="P45" s="576"/>
      <c r="Q45" s="574"/>
      <c r="R45" s="575"/>
      <c r="S45" s="2186" t="str">
        <f>INDEX(PT_DIFFERENTIATION_NUM_CS,MATCH(C45,PT_DIFFERENTIATION_CS_ID,0))</f>
        <v>..</v>
      </c>
      <c r="T45" s="531" t="s">
        <v>505</v>
      </c>
      <c r="U45" s="522"/>
      <c r="V45" s="2382"/>
      <c r="W45" s="2383"/>
      <c r="X45" s="2383"/>
      <c r="Y45" s="2383"/>
      <c r="Z45" s="2383"/>
      <c r="AA45" s="2383"/>
      <c r="AB45" s="2383"/>
      <c r="AC45" s="2384"/>
      <c r="AD45" s="2382" t="str">
        <f>INDEX(PT_DIFFERENTIATION_CS,MATCH(C45,PT_DIFFERENTIATION_CS_ID,0))</f>
        <v/>
      </c>
      <c r="AE45" s="2383"/>
      <c r="AF45" s="2383"/>
      <c r="AG45" s="2383"/>
      <c r="AH45" s="2383"/>
      <c r="AI45" s="2383"/>
      <c r="AJ45" s="2383"/>
      <c r="AK45" s="2383"/>
      <c r="AL45" s="2384"/>
      <c r="AM45" s="1484" t="s">
        <v>506</v>
      </c>
      <c r="AO45" s="1851"/>
      <c r="AP45" s="1851" t="str">
        <f>IF(T45="","",T45)</f>
        <v>Наименование системы теплоснабжения </v>
      </c>
      <c r="AQ45" s="1851"/>
      <c r="AR45" s="1851"/>
    </row>
    <row customHeight="1" ht="21">
      <c r="A46" s="1494" t="s">
        <v>260</v>
      </c>
      <c r="B46" s="1494" t="s">
        <v>261</v>
      </c>
      <c r="C46" s="1494" t="s">
        <v>262</v>
      </c>
      <c r="D46" s="1494" t="s">
        <v>263</v>
      </c>
      <c r="E46" s="2424"/>
      <c r="F46" s="2424"/>
      <c r="G46" s="2424"/>
      <c r="H46" s="2423">
        <v>1</v>
      </c>
      <c r="I46" s="1494"/>
      <c r="J46" s="1494"/>
      <c r="K46" s="1494"/>
      <c r="L46" s="1537"/>
      <c r="M46" s="1837"/>
      <c r="N46" s="1837"/>
      <c r="O46" s="1837"/>
      <c r="P46" s="576"/>
      <c r="Q46" s="574"/>
      <c r="R46" s="575"/>
      <c r="S46" s="2186" t="str">
        <f>INDEX(PT_DIFFERENTIATION_NUM_IST_TE,MATCH(D46,PT_DIFFERENTIATION_IST_TE_ID,0))</f>
        <v>...</v>
      </c>
      <c r="T46" s="532" t="s">
        <v>507</v>
      </c>
      <c r="U46" s="522"/>
      <c r="V46" s="2382"/>
      <c r="W46" s="2383"/>
      <c r="X46" s="2383"/>
      <c r="Y46" s="2383"/>
      <c r="Z46" s="2383"/>
      <c r="AA46" s="2383"/>
      <c r="AB46" s="2383"/>
      <c r="AC46" s="2384"/>
      <c r="AD46" s="2382" t="str">
        <f>INDEX(PT_DIFFERENTIATION_IST_TE,MATCH(D46,PT_DIFFERENTIATION_IST_TE_ID,0))</f>
        <v/>
      </c>
      <c r="AE46" s="2383"/>
      <c r="AF46" s="2383"/>
      <c r="AG46" s="2383"/>
      <c r="AH46" s="2383"/>
      <c r="AI46" s="2383"/>
      <c r="AJ46" s="2383"/>
      <c r="AK46" s="2383"/>
      <c r="AL46" s="2384"/>
      <c r="AM46" s="1484" t="s">
        <v>508</v>
      </c>
      <c r="AO46" s="1851"/>
      <c r="AP46" s="1851" t="str">
        <f>IF(T46="","",T46)</f>
        <v>Источник тепловой энергии  </v>
      </c>
      <c r="AQ46" s="1851"/>
      <c r="AR46" s="1851"/>
    </row>
    <row customHeight="1" ht="47.25">
      <c r="A47" s="1494" t="s">
        <v>260</v>
      </c>
      <c r="B47" s="1494" t="s">
        <v>261</v>
      </c>
      <c r="C47" s="1494" t="s">
        <v>262</v>
      </c>
      <c r="D47" s="1494" t="s">
        <v>263</v>
      </c>
      <c r="E47" s="2424"/>
      <c r="F47" s="2424"/>
      <c r="G47" s="2424"/>
      <c r="H47" s="2424"/>
      <c r="I47" s="2253" t="str">
        <f>S46&amp;".1"</f>
        <v>....1</v>
      </c>
      <c r="J47" s="1494"/>
      <c r="K47" s="1494"/>
      <c r="L47" s="1537" t="s">
        <v>509</v>
      </c>
      <c r="P47" s="2392">
        <v>1</v>
      </c>
      <c r="Q47" s="2182"/>
      <c r="R47" s="578"/>
      <c r="S47" s="2186" t="str">
        <f>$I47</f>
        <v>....1</v>
      </c>
      <c r="T47" s="507" t="s">
        <v>510</v>
      </c>
      <c r="U47" s="522"/>
      <c r="V47" s="2376"/>
      <c r="W47" s="2377"/>
      <c r="X47" s="2377"/>
      <c r="Y47" s="2377"/>
      <c r="Z47" s="2377"/>
      <c r="AA47" s="2377"/>
      <c r="AB47" s="2377"/>
      <c r="AC47" s="2378"/>
      <c r="AD47" s="2376"/>
      <c r="AE47" s="2377"/>
      <c r="AF47" s="2377"/>
      <c r="AG47" s="2377"/>
      <c r="AH47" s="2377"/>
      <c r="AI47" s="2377"/>
      <c r="AJ47" s="2377"/>
      <c r="AK47" s="2377"/>
      <c r="AL47" s="2378"/>
      <c r="AM47" s="1484" t="s">
        <v>511</v>
      </c>
      <c r="AO47" s="1851"/>
      <c r="AP47" s="1851" t="str">
        <f>IF(T47="","",T47)</f>
        <v>Схема подключения теплопотребляющей установки к коллектору источника тепловой энергии</v>
      </c>
      <c r="AQ47" s="1851"/>
      <c r="AR47" s="1851"/>
    </row>
    <row customHeight="1" ht="21">
      <c r="A48" s="1494" t="s">
        <v>260</v>
      </c>
      <c r="B48" s="1494" t="s">
        <v>261</v>
      </c>
      <c r="C48" s="1494" t="s">
        <v>262</v>
      </c>
      <c r="D48" s="1494" t="s">
        <v>263</v>
      </c>
      <c r="E48" s="2424"/>
      <c r="F48" s="2424"/>
      <c r="G48" s="2424"/>
      <c r="H48" s="2424"/>
      <c r="I48" s="2237"/>
      <c r="J48" s="2253" t="str">
        <f>I47&amp;".1"</f>
        <v>....1.1</v>
      </c>
      <c r="K48" s="1494"/>
      <c r="L48" s="1537" t="s">
        <v>512</v>
      </c>
      <c r="P48" s="2392"/>
      <c r="Q48" s="2392">
        <v>1</v>
      </c>
      <c r="R48" s="579"/>
      <c r="S48" s="2186" t="str">
        <f>$J48</f>
        <v>....1.1</v>
      </c>
      <c r="T48" s="508" t="s">
        <v>513</v>
      </c>
      <c r="U48" s="522"/>
      <c r="V48" s="2376"/>
      <c r="W48" s="2377"/>
      <c r="X48" s="2377"/>
      <c r="Y48" s="2377"/>
      <c r="Z48" s="2377"/>
      <c r="AA48" s="2377"/>
      <c r="AB48" s="2377"/>
      <c r="AC48" s="2378"/>
      <c r="AD48" s="2376"/>
      <c r="AE48" s="2377"/>
      <c r="AF48" s="2377"/>
      <c r="AG48" s="2377"/>
      <c r="AH48" s="2377"/>
      <c r="AI48" s="2377"/>
      <c r="AJ48" s="2377"/>
      <c r="AK48" s="2377"/>
      <c r="AL48" s="2378"/>
      <c r="AM48" s="1484" t="s">
        <v>514</v>
      </c>
      <c r="AO48" s="1851"/>
      <c r="AP48" s="1851" t="str">
        <f>IF(T48="","",T48)</f>
        <v>Группа потребителей</v>
      </c>
      <c r="AQ48" s="1851"/>
      <c r="AR48" s="1851"/>
    </row>
    <row customHeight="1" ht="21">
      <c r="A49" s="1494" t="s">
        <v>260</v>
      </c>
      <c r="B49" s="1494" t="s">
        <v>261</v>
      </c>
      <c r="C49" s="1494" t="s">
        <v>262</v>
      </c>
      <c r="D49" s="1494" t="s">
        <v>263</v>
      </c>
      <c r="E49" s="2424"/>
      <c r="F49" s="2424"/>
      <c r="G49" s="2424"/>
      <c r="H49" s="2424"/>
      <c r="I49" s="2237"/>
      <c r="J49" s="2237"/>
      <c r="K49" s="2253" t="str">
        <f>J48&amp;".1"</f>
        <v>....1.1.1</v>
      </c>
      <c r="L49" s="1537" t="s">
        <v>515</v>
      </c>
      <c r="P49" s="2392"/>
      <c r="Q49" s="2392"/>
      <c r="R49" s="579">
        <v>1</v>
      </c>
      <c r="S49" s="2186" t="str">
        <f>$K49</f>
        <v>....1.1.1</v>
      </c>
      <c r="T49" s="1574"/>
      <c r="U49" s="522"/>
      <c r="V49" s="973"/>
      <c r="W49" s="547"/>
      <c r="X49" s="973"/>
      <c r="Y49" s="1483"/>
      <c r="Z49" s="2393"/>
      <c r="AA49" s="2263" t="s">
        <v>63</v>
      </c>
      <c r="AB49" s="2393"/>
      <c r="AC49" s="2263" t="s">
        <v>63</v>
      </c>
      <c r="AD49" s="973"/>
      <c r="AE49" s="547"/>
      <c r="AF49" s="973"/>
      <c r="AG49" s="1483"/>
      <c r="AH49" s="2393"/>
      <c r="AI49" s="2263" t="s">
        <v>63</v>
      </c>
      <c r="AJ49" s="2395"/>
      <c r="AK49" s="2263" t="s">
        <v>63</v>
      </c>
      <c r="AL49" s="1575"/>
      <c r="AM49" s="2418" t="s">
        <v>516</v>
      </c>
      <c r="AN49" s="1863">
        <f>STRCHECKDATE(V50:AL50)</f>
      </c>
      <c r="AO49" s="1851"/>
      <c r="AP49" s="1851" t="str">
        <f>IF(T49="","",T49)</f>
        <v/>
      </c>
      <c r="AQ49" s="1851"/>
      <c r="AR49" s="1851"/>
    </row>
    <row customHeight="1" ht="0.75">
      <c r="A50" s="1494" t="s">
        <v>260</v>
      </c>
      <c r="B50" s="1494" t="s">
        <v>261</v>
      </c>
      <c r="C50" s="1494" t="s">
        <v>262</v>
      </c>
      <c r="D50" s="1494" t="s">
        <v>263</v>
      </c>
      <c r="E50" s="2424"/>
      <c r="F50" s="2424"/>
      <c r="G50" s="2424"/>
      <c r="H50" s="2424"/>
      <c r="I50" s="2237"/>
      <c r="J50" s="2237"/>
      <c r="K50" s="2253"/>
      <c r="L50" s="1537"/>
      <c r="P50" s="2392"/>
      <c r="Q50" s="2392"/>
      <c r="R50" s="579"/>
      <c r="S50" s="2195"/>
      <c r="T50" s="522"/>
      <c r="U50" s="522"/>
      <c r="V50" s="547"/>
      <c r="W50" s="547"/>
      <c r="X50" s="547"/>
      <c r="Y50" s="550" t="str">
        <f>Z49&amp;"-"&amp;AB49</f>
        <v>-</v>
      </c>
      <c r="Z50" s="2394"/>
      <c r="AA50" s="2263"/>
      <c r="AB50" s="2394"/>
      <c r="AC50" s="2263"/>
      <c r="AD50" s="547"/>
      <c r="AE50" s="547"/>
      <c r="AF50" s="547"/>
      <c r="AG50" s="550" t="str">
        <f>AH49&amp;"-"&amp;AJ49</f>
        <v>-</v>
      </c>
      <c r="AH50" s="2394"/>
      <c r="AI50" s="2263"/>
      <c r="AJ50" s="2396"/>
      <c r="AK50" s="2263"/>
      <c r="AL50" s="1576"/>
      <c r="AM50" s="2419"/>
      <c r="AO50" s="1851"/>
      <c r="AP50" s="1851" t="str">
        <f>IF(T50="","",T50)</f>
        <v/>
      </c>
      <c r="AQ50" s="1851"/>
      <c r="AR50" s="1851"/>
    </row>
    <row customHeight="1" ht="11.25">
      <c r="A51" s="1494" t="s">
        <v>260</v>
      </c>
      <c r="B51" s="1494" t="s">
        <v>261</v>
      </c>
      <c r="C51" s="1494" t="s">
        <v>262</v>
      </c>
      <c r="D51" s="1494" t="s">
        <v>263</v>
      </c>
      <c r="E51" s="2424"/>
      <c r="F51" s="2424"/>
      <c r="G51" s="2424"/>
      <c r="H51" s="2424"/>
      <c r="I51" s="2237"/>
      <c r="J51" s="2253"/>
      <c r="K51" s="1494"/>
      <c r="L51" s="1537"/>
      <c r="P51" s="2392"/>
      <c r="Q51" s="2392"/>
      <c r="R51" s="578"/>
      <c r="S51" s="1505"/>
      <c r="T51" s="510" t="s">
        <v>517</v>
      </c>
      <c r="U51" s="822"/>
      <c r="V51" s="822"/>
      <c r="W51" s="822"/>
      <c r="X51" s="822"/>
      <c r="Y51" s="822"/>
      <c r="Z51" s="822"/>
      <c r="AA51" s="822"/>
      <c r="AB51" s="822"/>
      <c r="AC51" s="822"/>
      <c r="AD51" s="822"/>
      <c r="AE51" s="822"/>
      <c r="AF51" s="822"/>
      <c r="AG51" s="822"/>
      <c r="AH51" s="822"/>
      <c r="AI51" s="822"/>
      <c r="AJ51" s="822"/>
      <c r="AK51" s="822"/>
      <c r="AL51" s="546"/>
      <c r="AM51" s="2420"/>
      <c r="AO51" s="1851"/>
      <c r="AP51" s="1851" t="str">
        <f>IF(T51="","",T51)</f>
        <v>Добавить вид теплоносителя (параметры теплоносителя)</v>
      </c>
      <c r="AQ51" s="1851"/>
      <c r="AR51" s="1851"/>
    </row>
    <row customHeight="1" ht="11.25">
      <c r="A52" s="1494" t="s">
        <v>260</v>
      </c>
      <c r="B52" s="1494" t="s">
        <v>261</v>
      </c>
      <c r="C52" s="1494" t="s">
        <v>262</v>
      </c>
      <c r="D52" s="1494" t="s">
        <v>263</v>
      </c>
      <c r="E52" s="2424"/>
      <c r="F52" s="2424"/>
      <c r="G52" s="2424"/>
      <c r="H52" s="2424"/>
      <c r="I52" s="2253"/>
      <c r="J52" s="1494"/>
      <c r="K52" s="1494"/>
      <c r="L52" s="1537"/>
      <c r="P52" s="2392"/>
      <c r="Q52" s="2182"/>
      <c r="R52" s="578"/>
      <c r="S52" s="1505"/>
      <c r="T52" s="509" t="s">
        <v>518</v>
      </c>
      <c r="U52" s="822"/>
      <c r="V52" s="822"/>
      <c r="W52" s="822"/>
      <c r="X52" s="822"/>
      <c r="Y52" s="822"/>
      <c r="Z52" s="822"/>
      <c r="AA52" s="822"/>
      <c r="AB52" s="822"/>
      <c r="AC52" s="588"/>
      <c r="AD52" s="822"/>
      <c r="AE52" s="822"/>
      <c r="AF52" s="822"/>
      <c r="AG52" s="822"/>
      <c r="AH52" s="822"/>
      <c r="AI52" s="822"/>
      <c r="AJ52" s="822"/>
      <c r="AK52" s="588"/>
      <c r="AL52" s="822"/>
      <c r="AM52" s="525"/>
      <c r="AO52" s="1851"/>
      <c r="AP52" s="1851" t="str">
        <f>IF(T52="","",T52)</f>
        <v>Добавить группу потребителей</v>
      </c>
      <c r="AQ52" s="1851"/>
      <c r="AR52" s="1851"/>
    </row>
    <row customHeight="1" ht="14.25">
      <c r="A53" s="1494" t="s">
        <v>260</v>
      </c>
      <c r="B53" s="1494" t="s">
        <v>261</v>
      </c>
      <c r="C53" s="1494" t="s">
        <v>262</v>
      </c>
      <c r="D53" s="1494" t="s">
        <v>263</v>
      </c>
      <c r="E53" s="2424"/>
      <c r="F53" s="2424"/>
      <c r="G53" s="2424"/>
      <c r="H53" s="2423"/>
      <c r="I53" s="1494"/>
      <c r="J53" s="1494"/>
      <c r="K53" s="1494"/>
      <c r="L53" s="1537"/>
      <c r="M53" s="1837"/>
      <c r="N53" s="1837"/>
      <c r="O53" s="1862"/>
      <c r="P53" s="582"/>
      <c r="Q53" s="597"/>
      <c r="R53" s="577"/>
      <c r="S53" s="1505"/>
      <c r="T53" s="587" t="s">
        <v>519</v>
      </c>
      <c r="U53" s="822"/>
      <c r="V53" s="822"/>
      <c r="W53" s="822"/>
      <c r="X53" s="822"/>
      <c r="Y53" s="822"/>
      <c r="Z53" s="822"/>
      <c r="AA53" s="822"/>
      <c r="AB53" s="822"/>
      <c r="AC53" s="588"/>
      <c r="AD53" s="822"/>
      <c r="AE53" s="822"/>
      <c r="AF53" s="822"/>
      <c r="AG53" s="822"/>
      <c r="AH53" s="822"/>
      <c r="AI53" s="822"/>
      <c r="AJ53" s="822"/>
      <c r="AK53" s="588"/>
      <c r="AL53" s="822"/>
      <c r="AM53" s="525"/>
      <c r="AO53" s="1851"/>
      <c r="AP53" s="1851" t="str">
        <f>IF(T53="","",T53)</f>
        <v>Добавить схему подключения</v>
      </c>
      <c r="AQ53" s="1851"/>
      <c r="AR53" s="1851"/>
    </row>
    <row s="16654" customFormat="1" customHeight="1" ht="0.75">
      <c r="A54" s="1494" t="s">
        <v>260</v>
      </c>
      <c r="B54" s="1494" t="s">
        <v>261</v>
      </c>
      <c r="C54" s="1494" t="s">
        <v>262</v>
      </c>
      <c r="D54" s="2203"/>
      <c r="E54" s="2424"/>
      <c r="F54" s="2424"/>
      <c r="G54" s="2423"/>
      <c r="H54" s="2203"/>
      <c r="I54" s="2203"/>
      <c r="J54" s="2203"/>
      <c r="K54" s="2203"/>
      <c r="L54" s="1607"/>
      <c r="M54" s="1837"/>
      <c r="N54" s="1837"/>
      <c r="O54" s="1862"/>
      <c r="P54" s="1543"/>
      <c r="Q54" s="1544"/>
      <c r="R54" s="1543"/>
      <c r="S54" s="1549"/>
      <c r="T54" s="1552" t="s">
        <v>520</v>
      </c>
      <c r="U54" s="1551"/>
      <c r="V54" s="1551"/>
      <c r="W54" s="1551"/>
      <c r="X54" s="1551"/>
      <c r="Y54" s="1551"/>
      <c r="Z54" s="1551"/>
      <c r="AA54" s="1551"/>
      <c r="AB54" s="1551"/>
      <c r="AC54" s="1551"/>
      <c r="AD54" s="1551"/>
      <c r="AE54" s="1551"/>
      <c r="AF54" s="1551"/>
      <c r="AG54" s="1551"/>
      <c r="AH54" s="1551"/>
      <c r="AI54" s="1551"/>
      <c r="AJ54" s="1551"/>
      <c r="AK54" s="1551"/>
      <c r="AL54" s="1551"/>
      <c r="AM54" s="1551"/>
      <c r="AO54" s="1477"/>
      <c r="AP54" s="1477" t="str">
        <f>IF(T54="","",T54)</f>
        <v>Добавить источник для дифференциации</v>
      </c>
      <c r="AQ54" s="1477"/>
      <c r="AR54" s="1477"/>
    </row>
    <row s="16654" customFormat="1" customHeight="1" ht="0.75">
      <c r="A55" s="1494" t="s">
        <v>260</v>
      </c>
      <c r="B55" s="1494" t="s">
        <v>261</v>
      </c>
      <c r="C55" s="2203"/>
      <c r="D55" s="2203"/>
      <c r="E55" s="2424"/>
      <c r="F55" s="2423"/>
      <c r="G55" s="2203"/>
      <c r="H55" s="2203"/>
      <c r="I55" s="2203"/>
      <c r="J55" s="2203"/>
      <c r="K55" s="2203"/>
      <c r="L55" s="1607"/>
      <c r="M55" s="2204"/>
      <c r="N55" s="2204"/>
      <c r="O55" s="1862"/>
      <c r="P55" s="1543"/>
      <c r="Q55" s="1544"/>
      <c r="R55" s="1543"/>
      <c r="S55" s="1549"/>
      <c r="T55" s="1552" t="s">
        <v>305</v>
      </c>
      <c r="U55" s="1551"/>
      <c r="V55" s="1551"/>
      <c r="W55" s="1551"/>
      <c r="X55" s="1551"/>
      <c r="Y55" s="1551"/>
      <c r="Z55" s="1551"/>
      <c r="AA55" s="1551"/>
      <c r="AB55" s="1551"/>
      <c r="AC55" s="1551"/>
      <c r="AD55" s="1551"/>
      <c r="AE55" s="1551"/>
      <c r="AF55" s="1551"/>
      <c r="AG55" s="1551"/>
      <c r="AH55" s="1551"/>
      <c r="AI55" s="1551"/>
      <c r="AJ55" s="1551"/>
      <c r="AK55" s="1551"/>
      <c r="AL55" s="1551"/>
      <c r="AM55" s="1551"/>
      <c r="AO55" s="1477"/>
      <c r="AP55" s="1477" t="str">
        <f>IF(T55="","",T55)</f>
        <v>Добавить централизованную систему для дифференциации</v>
      </c>
      <c r="AQ55" s="1477"/>
      <c r="AR55" s="1477"/>
    </row>
    <row s="16674" customFormat="1" customHeight="1" ht="0.75">
      <c r="A56" s="1494" t="s">
        <v>260</v>
      </c>
      <c r="B56" s="1494"/>
      <c r="C56" s="1494"/>
      <c r="D56" s="1494"/>
      <c r="E56" s="2423"/>
      <c r="F56" s="1494"/>
      <c r="G56" s="1494"/>
      <c r="H56" s="1494"/>
      <c r="I56" s="1494"/>
      <c r="J56" s="1494"/>
      <c r="K56" s="1494"/>
      <c r="L56" s="1537"/>
      <c r="M56" s="2204"/>
      <c r="N56" s="2204"/>
      <c r="O56" s="1862"/>
      <c r="P56" s="602"/>
      <c r="Q56" s="1571"/>
      <c r="R56" s="602"/>
      <c r="S56" s="1549"/>
      <c r="T56" s="1552" t="s">
        <v>358</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row>
    <row s="16654" customFormat="1" customHeight="1" ht="0.75">
      <c r="A57" s="2203"/>
      <c r="B57" s="2203"/>
      <c r="C57" s="2203"/>
      <c r="D57" s="2203"/>
      <c r="E57" s="1494"/>
      <c r="F57" s="2203"/>
      <c r="G57" s="2203"/>
      <c r="H57" s="2203"/>
      <c r="I57" s="2203"/>
      <c r="J57" s="2203"/>
      <c r="K57" s="2203"/>
      <c r="L57" s="1607"/>
      <c r="M57" s="2204"/>
      <c r="N57" s="2204"/>
      <c r="O57" s="1862"/>
      <c r="P57" s="1543"/>
      <c r="Q57" s="1544"/>
      <c r="R57" s="1543"/>
      <c r="S57" s="1549"/>
      <c r="T57" s="1552" t="s">
        <v>359</v>
      </c>
      <c r="U57" s="1551"/>
      <c r="V57" s="1551"/>
      <c r="W57" s="1551"/>
      <c r="X57" s="1551"/>
      <c r="Y57" s="1551"/>
      <c r="Z57" s="1551"/>
      <c r="AA57" s="1551"/>
      <c r="AB57" s="1551"/>
      <c r="AC57" s="1551"/>
      <c r="AD57" s="1551"/>
      <c r="AE57" s="1551"/>
      <c r="AF57" s="1551"/>
      <c r="AG57" s="1551"/>
      <c r="AH57" s="1551"/>
      <c r="AI57" s="1551"/>
      <c r="AJ57" s="1551"/>
      <c r="AK57" s="1551"/>
      <c r="AL57" s="1551"/>
      <c r="AM57" s="1551"/>
      <c r="AO57" s="1477"/>
      <c r="AP57" s="1477" t="str">
        <f>IF(T57="","",T57)</f>
        <v>Добавить наименование тарифа</v>
      </c>
      <c r="AQ57" s="1477"/>
      <c r="AR57" s="1477"/>
    </row>
    <row customHeight="1" ht="11.25">
      <c r="M58" s="1858"/>
      <c r="N58" s="1858"/>
      <c r="O58" s="1862"/>
      <c r="P58" s="1858"/>
      <c r="Q58" s="1858"/>
      <c r="R58" s="1858"/>
      <c r="S58" s="1858"/>
      <c r="AN58" s="1858"/>
      <c r="AO58" s="1858"/>
      <c r="AP58" s="1858"/>
      <c r="AQ58" s="1858"/>
      <c r="AR58" s="1858"/>
    </row>
    <row customHeight="1" ht="27">
      <c r="O59" s="1862"/>
      <c r="S59" s="1479"/>
      <c r="T59" s="2387"/>
      <c r="U59" s="2387"/>
      <c r="V59" s="2387"/>
      <c r="W59" s="2387"/>
      <c r="X59" s="2387"/>
      <c r="Y59" s="2387"/>
      <c r="Z59" s="2387"/>
      <c r="AA59" s="2387"/>
      <c r="AB59" s="2387"/>
      <c r="AC59" s="2387"/>
      <c r="AD59" s="2387"/>
      <c r="AE59" s="2387"/>
      <c r="AF59" s="2387"/>
      <c r="AG59" s="2387"/>
      <c r="AH59" s="2387"/>
      <c r="AI59" s="2387"/>
      <c r="AJ59" s="2387"/>
      <c r="AK59" s="2387"/>
      <c r="AL59" s="2387"/>
      <c r="AM59" s="2387"/>
    </row>
    <row customHeight="1" ht="62.25">
      <c r="O60" s="1862"/>
      <c r="T60" s="2387"/>
      <c r="U60" s="2387"/>
      <c r="V60" s="2387"/>
      <c r="W60" s="2387"/>
      <c r="X60" s="2387"/>
      <c r="Y60" s="2387"/>
      <c r="Z60" s="2387"/>
      <c r="AA60" s="2387"/>
      <c r="AB60" s="2387"/>
      <c r="AC60" s="2387"/>
      <c r="AD60" s="2387"/>
      <c r="AE60" s="2387"/>
      <c r="AF60" s="2387"/>
      <c r="AG60" s="2387"/>
      <c r="AH60" s="2387"/>
      <c r="AI60" s="2387"/>
      <c r="AJ60" s="2387"/>
      <c r="AK60" s="2387"/>
      <c r="AL60" s="2387"/>
      <c r="AM60" s="2387"/>
    </row>
    <row customHeight="1" ht="14.25">
      <c r="O61" s="1862"/>
    </row>
    <row customHeight="1" ht="18">
      <c r="O62" s="1862"/>
      <c r="S62" s="1479"/>
      <c r="T62" s="2387"/>
      <c r="U62" s="2387"/>
      <c r="V62" s="2387"/>
      <c r="W62" s="2387"/>
      <c r="X62" s="2387"/>
      <c r="Y62" s="2387"/>
      <c r="Z62" s="2387"/>
      <c r="AA62" s="2387"/>
      <c r="AB62" s="2387"/>
      <c r="AC62" s="2387"/>
      <c r="AD62" s="2387"/>
      <c r="AE62" s="2387"/>
      <c r="AF62" s="2387"/>
      <c r="AG62" s="2387"/>
      <c r="AH62" s="2387"/>
      <c r="AI62" s="2387"/>
      <c r="AJ62" s="2387"/>
      <c r="AK62" s="2387"/>
      <c r="AL62" s="2387"/>
      <c r="AM62" s="2387"/>
    </row>
    <row customHeight="1" ht="18">
      <c r="O63" s="1862"/>
      <c r="T63" s="2387"/>
      <c r="U63" s="2387"/>
      <c r="V63" s="2387"/>
      <c r="W63" s="2387"/>
      <c r="X63" s="2387"/>
      <c r="Y63" s="2387"/>
      <c r="Z63" s="2387"/>
      <c r="AA63" s="2387"/>
      <c r="AB63" s="2387"/>
      <c r="AC63" s="2387"/>
      <c r="AD63" s="2387"/>
      <c r="AE63" s="2387"/>
      <c r="AF63" s="2387"/>
      <c r="AG63" s="2387"/>
      <c r="AH63" s="2387"/>
      <c r="AI63" s="2387"/>
      <c r="AJ63" s="2387"/>
      <c r="AK63" s="2387"/>
      <c r="AL63" s="2387"/>
      <c r="AM63" s="2387"/>
    </row>
    <row customHeight="1" ht="27.75">
      <c r="O64" s="1862"/>
      <c r="S64" s="1479"/>
      <c r="T64" s="2387"/>
      <c r="U64" s="2387"/>
      <c r="V64" s="2387"/>
      <c r="W64" s="2387"/>
      <c r="X64" s="2387"/>
      <c r="Y64" s="2387"/>
      <c r="Z64" s="2387"/>
      <c r="AA64" s="2387"/>
      <c r="AB64" s="2387"/>
      <c r="AC64" s="2387"/>
      <c r="AD64" s="2387"/>
      <c r="AE64" s="2387"/>
      <c r="AF64" s="2387"/>
      <c r="AG64" s="2387"/>
      <c r="AH64" s="2387"/>
      <c r="AI64" s="2387"/>
      <c r="AJ64" s="2387"/>
      <c r="AK64" s="2387"/>
      <c r="AL64" s="2387"/>
      <c r="AM64" s="2387"/>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7520E3-29AF-D122-528E-671FC610431A}"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6550" width="10.57421875" hidden="1"/>
    <col min="2" max="2" style="16550" width="11.00390625" hidden="1" customWidth="1"/>
    <col min="3" max="3" style="16550" width="10.57421875" hidden="1"/>
    <col min="4" max="4" style="16550" width="11.8515625" hidden="1" customWidth="1"/>
    <col min="5" max="5" style="16550" width="10.00390625" hidden="1" customWidth="1"/>
    <col min="6" max="6" style="16550" width="8.7109375" hidden="1" customWidth="1"/>
    <col min="7" max="7" style="16550" width="7.57421875" hidden="1" customWidth="1"/>
    <col min="8" max="8" style="16550" width="11.421875" hidden="1" customWidth="1"/>
    <col min="9" max="9" style="16550" width="12.00390625" hidden="1" customWidth="1"/>
    <col min="10" max="10" style="16550" width="9.8515625" hidden="1" customWidth="1"/>
    <col min="11" max="11" style="16550" width="11.421875" hidden="1" customWidth="1"/>
    <col min="12" max="12" style="16630" width="19.140625" hidden="1" customWidth="1"/>
    <col min="13" max="14" style="16631" width="12.28125" hidden="1" customWidth="1"/>
    <col min="15" max="15" style="16631" width="23.421875" hidden="1" customWidth="1"/>
    <col min="16" max="16" style="16643" width="3.7109375" customWidth="1"/>
    <col min="17" max="18" style="16633" width="3.7109375" customWidth="1"/>
    <col min="19" max="19" style="16634" width="12.7109375" customWidth="1"/>
    <col min="20" max="20" style="16635" width="32.00390625" customWidth="1"/>
    <col min="21" max="21" style="16635" width="0.7109375" hidden="1" customWidth="1"/>
    <col min="22" max="22" style="16635" width="1.7109375" hidden="1" customWidth="1"/>
    <col min="23" max="23" style="16635" width="24.7109375" hidden="1" customWidth="1"/>
    <col min="24" max="25" style="16635" width="0.140625" hidden="1" customWidth="1"/>
    <col min="26" max="26" style="16635" width="11.7109375" hidden="1" customWidth="1"/>
    <col min="27" max="27" style="16635" width="3.7109375" hidden="1" customWidth="1"/>
    <col min="28" max="28" style="16635" width="11.7109375" hidden="1" customWidth="1"/>
    <col min="29" max="29" style="16635" width="8.57421875" hidden="1" customWidth="1"/>
    <col min="30" max="30" style="16635" width="0.140625" customWidth="1"/>
    <col min="31" max="31" style="16635" width="24.7109375" customWidth="1"/>
    <col min="32" max="33" style="16635" width="0.140625" customWidth="1"/>
    <col min="34" max="34" style="16635" width="11.7109375" customWidth="1"/>
    <col min="35" max="35" style="16635" width="3.7109375" customWidth="1"/>
    <col min="36" max="36" style="16635" width="11.7109375" customWidth="1"/>
    <col min="37" max="37" style="16635" width="8.57421875" hidden="1" customWidth="1"/>
    <col min="38" max="38" style="16635" width="4.7109375" customWidth="1"/>
    <col min="39" max="39" style="16635" width="115.7109375" customWidth="1"/>
    <col min="40" max="41" style="16622" width="10.57421875"/>
    <col min="42" max="42" style="16622" width="11.140625" customWidth="1"/>
    <col min="43" max="44" style="16622" width="10.57421875"/>
  </cols>
  <sheetData>
    <row customHeight="1" ht="14.25" hidden="1">
      <c r="Y1" s="549"/>
      <c r="Z1" s="549"/>
      <c r="AG1" s="549"/>
      <c r="AH1" s="549"/>
    </row>
    <row customHeight="1" ht="21" hidden="1">
      <c r="A2" s="1590"/>
      <c r="B2" s="1590"/>
      <c r="C2" s="1590"/>
      <c r="D2" s="1590"/>
      <c r="E2" s="2388">
        <v>1</v>
      </c>
      <c r="F2" s="1590"/>
      <c r="G2" s="1590"/>
      <c r="H2" s="1590"/>
      <c r="I2" s="1590"/>
      <c r="J2" s="1590"/>
      <c r="K2" s="1590"/>
      <c r="L2" s="1591"/>
      <c r="M2" s="1592"/>
      <c r="N2" s="1592"/>
      <c r="O2" s="1592"/>
      <c r="P2" s="583"/>
      <c r="Q2" s="582"/>
      <c r="R2" s="577"/>
      <c r="S2" s="1563">
        <f>INDEX(PT_DIFFERENTIATION_NUM_NTAR,MATCH(A2,PT_DIFFERENTIATION_NTAR_ID,0))</f>
      </c>
      <c r="T2" s="520" t="s">
        <v>179</v>
      </c>
      <c r="U2" s="522"/>
      <c r="V2" s="2382"/>
      <c r="W2" s="2383"/>
      <c r="X2" s="2383"/>
      <c r="Y2" s="2383"/>
      <c r="Z2" s="2383"/>
      <c r="AA2" s="2383"/>
      <c r="AB2" s="2383"/>
      <c r="AC2" s="2384"/>
      <c r="AD2" s="2382">
        <f>INDEX(PT_DIFFERENTIATION_NTAR,MATCH(A2,PT_DIFFERENTIATION_NTAR_ID,0))</f>
      </c>
      <c r="AE2" s="2383"/>
      <c r="AF2" s="2383"/>
      <c r="AG2" s="2383"/>
      <c r="AH2" s="2383"/>
      <c r="AI2" s="2383"/>
      <c r="AJ2" s="2383"/>
      <c r="AK2" s="2383"/>
      <c r="AL2" s="2384"/>
      <c r="AM2" s="1484" t="s">
        <v>502</v>
      </c>
      <c r="AO2" s="722"/>
      <c r="AP2" s="722" t="str">
        <f>IF(T2="","",T2)</f>
        <v>Наименование тарифа</v>
      </c>
      <c r="AQ2" s="722"/>
      <c r="AR2" s="722"/>
    </row>
    <row customHeight="1" ht="21" hidden="1">
      <c r="A3" s="1590"/>
      <c r="B3" s="1590"/>
      <c r="C3" s="1590"/>
      <c r="D3" s="1590"/>
      <c r="E3" s="2389"/>
      <c r="F3" s="2388">
        <v>1</v>
      </c>
      <c r="G3" s="1590"/>
      <c r="H3" s="1590"/>
      <c r="I3" s="1590"/>
      <c r="J3" s="1590"/>
      <c r="K3" s="1590"/>
      <c r="L3" s="1591"/>
      <c r="M3" s="1592"/>
      <c r="N3" s="1592"/>
      <c r="O3" s="1592"/>
      <c r="P3" s="1559"/>
      <c r="Q3" s="574"/>
      <c r="R3" s="575"/>
      <c r="S3" s="1563">
        <f>INDEX(PT_DIFFERENTIATION_NUM_TER,MATCH(B3,PT_DIFFERENTIATION_TER_ID,0))</f>
      </c>
      <c r="T3" s="530" t="s">
        <v>503</v>
      </c>
      <c r="U3" s="522"/>
      <c r="V3" s="2382"/>
      <c r="W3" s="2383"/>
      <c r="X3" s="2383"/>
      <c r="Y3" s="2383"/>
      <c r="Z3" s="2383"/>
      <c r="AA3" s="2383"/>
      <c r="AB3" s="2383"/>
      <c r="AC3" s="2384"/>
      <c r="AD3" s="2382">
        <f>INDEX(PT_DIFFERENTIATION_TER,MATCH(B3,PT_DIFFERENTIATION_TER_ID,0))</f>
      </c>
      <c r="AE3" s="2383"/>
      <c r="AF3" s="2383"/>
      <c r="AG3" s="2383"/>
      <c r="AH3" s="2383"/>
      <c r="AI3" s="2383"/>
      <c r="AJ3" s="2383"/>
      <c r="AK3" s="2383"/>
      <c r="AL3" s="2384"/>
      <c r="AM3" s="1484" t="s">
        <v>504</v>
      </c>
      <c r="AO3" s="722"/>
      <c r="AP3" s="722" t="str">
        <f>IF(T3="","",T3)</f>
        <v>Территория действия тарифа</v>
      </c>
      <c r="AQ3" s="722"/>
      <c r="AR3" s="722"/>
    </row>
    <row customHeight="1" ht="23.25" hidden="1">
      <c r="A4" s="1590"/>
      <c r="B4" s="1590"/>
      <c r="C4" s="1590"/>
      <c r="D4" s="1590"/>
      <c r="E4" s="2389"/>
      <c r="F4" s="2389"/>
      <c r="G4" s="2388">
        <v>1</v>
      </c>
      <c r="H4" s="1590"/>
      <c r="I4" s="1590"/>
      <c r="J4" s="1590"/>
      <c r="K4" s="1590"/>
      <c r="L4" s="1591"/>
      <c r="M4" s="1592"/>
      <c r="N4" s="1592"/>
      <c r="O4" s="1592"/>
      <c r="P4" s="576"/>
      <c r="Q4" s="574"/>
      <c r="R4" s="575"/>
      <c r="S4" s="1563">
        <f>INDEX(PT_DIFFERENTIATION_NUM_CS,MATCH(C4,PT_DIFFERENTIATION_CS_ID,0))</f>
      </c>
      <c r="T4" s="531" t="s">
        <v>505</v>
      </c>
      <c r="U4" s="522"/>
      <c r="V4" s="2382"/>
      <c r="W4" s="2383"/>
      <c r="X4" s="2383"/>
      <c r="Y4" s="2383"/>
      <c r="Z4" s="2383"/>
      <c r="AA4" s="2383"/>
      <c r="AB4" s="2383"/>
      <c r="AC4" s="2384"/>
      <c r="AD4" s="2382">
        <f>INDEX(PT_DIFFERENTIATION_CS,MATCH(C4,PT_DIFFERENTIATION_CS_ID,0))</f>
      </c>
      <c r="AE4" s="2383"/>
      <c r="AF4" s="2383"/>
      <c r="AG4" s="2383"/>
      <c r="AH4" s="2383"/>
      <c r="AI4" s="2383"/>
      <c r="AJ4" s="2383"/>
      <c r="AK4" s="2383"/>
      <c r="AL4" s="2384"/>
      <c r="AM4" s="1484" t="s">
        <v>506</v>
      </c>
      <c r="AO4" s="722"/>
      <c r="AP4" s="722" t="str">
        <f>IF(T4="","",T4)</f>
        <v>Наименование системы теплоснабжения </v>
      </c>
      <c r="AQ4" s="722"/>
      <c r="AR4" s="722"/>
    </row>
    <row customHeight="1" ht="21" hidden="1">
      <c r="A5" s="1590"/>
      <c r="B5" s="1590"/>
      <c r="C5" s="1590"/>
      <c r="D5" s="1590"/>
      <c r="E5" s="2389"/>
      <c r="F5" s="2389"/>
      <c r="G5" s="2389"/>
      <c r="H5" s="2388">
        <v>1</v>
      </c>
      <c r="I5" s="1590"/>
      <c r="J5" s="1590"/>
      <c r="K5" s="1590"/>
      <c r="L5" s="1591"/>
      <c r="M5" s="1592"/>
      <c r="N5" s="1592"/>
      <c r="O5" s="1592"/>
      <c r="P5" s="576"/>
      <c r="Q5" s="574"/>
      <c r="R5" s="575"/>
      <c r="S5" s="1563">
        <f>INDEX(PT_DIFFERENTIATION_NUM_IST_TE,MATCH(D5,PT_DIFFERENTIATION_IST_TE_ID,0))</f>
      </c>
      <c r="T5" s="532" t="s">
        <v>507</v>
      </c>
      <c r="U5" s="522"/>
      <c r="V5" s="2382"/>
      <c r="W5" s="2383"/>
      <c r="X5" s="2383"/>
      <c r="Y5" s="2383"/>
      <c r="Z5" s="2383"/>
      <c r="AA5" s="2383"/>
      <c r="AB5" s="2383"/>
      <c r="AC5" s="2384"/>
      <c r="AD5" s="2382">
        <f>INDEX(PT_DIFFERENTIATION_IST_TE,MATCH(D5,PT_DIFFERENTIATION_IST_TE_ID,0))</f>
      </c>
      <c r="AE5" s="2383"/>
      <c r="AF5" s="2383"/>
      <c r="AG5" s="2383"/>
      <c r="AH5" s="2383"/>
      <c r="AI5" s="2383"/>
      <c r="AJ5" s="2383"/>
      <c r="AK5" s="2383"/>
      <c r="AL5" s="2384"/>
      <c r="AM5" s="1484" t="s">
        <v>508</v>
      </c>
      <c r="AO5" s="722"/>
      <c r="AP5" s="722" t="str">
        <f>IF(T5="","",T5)</f>
        <v>Источник тепловой энергии  </v>
      </c>
      <c r="AQ5" s="722"/>
      <c r="AR5" s="722"/>
    </row>
    <row customHeight="1" ht="47.25" hidden="1">
      <c r="A6" s="1590"/>
      <c r="B6" s="1590"/>
      <c r="C6" s="1590"/>
      <c r="D6" s="1590"/>
      <c r="E6" s="2389"/>
      <c r="F6" s="2389"/>
      <c r="G6" s="2389"/>
      <c r="H6" s="2389"/>
      <c r="I6" s="2390">
        <f>S5&amp;".1"</f>
      </c>
      <c r="J6" s="1590"/>
      <c r="K6" s="1590"/>
      <c r="L6" s="1591" t="s">
        <v>509</v>
      </c>
      <c r="M6" s="759"/>
      <c r="P6" s="2392">
        <v>1</v>
      </c>
      <c r="Q6" s="1558"/>
      <c r="R6" s="578"/>
      <c r="S6" s="1563">
        <f>$I6</f>
      </c>
      <c r="T6" s="507" t="s">
        <v>510</v>
      </c>
      <c r="U6" s="522"/>
      <c r="V6" s="2376"/>
      <c r="W6" s="2377"/>
      <c r="X6" s="2377"/>
      <c r="Y6" s="2377"/>
      <c r="Z6" s="2377"/>
      <c r="AA6" s="2377"/>
      <c r="AB6" s="2377"/>
      <c r="AC6" s="2378"/>
      <c r="AD6" s="2376"/>
      <c r="AE6" s="2377"/>
      <c r="AF6" s="2377"/>
      <c r="AG6" s="2377"/>
      <c r="AH6" s="2377"/>
      <c r="AI6" s="2377"/>
      <c r="AJ6" s="2377"/>
      <c r="AK6" s="2377"/>
      <c r="AL6" s="2378"/>
      <c r="AM6" s="1484" t="s">
        <v>511</v>
      </c>
      <c r="AO6" s="722"/>
      <c r="AP6" s="722" t="str">
        <f>IF(T6="","",T6)</f>
        <v>Схема подключения теплопотребляющей установки к коллектору источника тепловой энергии</v>
      </c>
      <c r="AQ6" s="722"/>
      <c r="AR6" s="722"/>
    </row>
    <row customHeight="1" ht="21" hidden="1">
      <c r="A7" s="1590"/>
      <c r="B7" s="1590"/>
      <c r="C7" s="1590"/>
      <c r="D7" s="1590"/>
      <c r="E7" s="2389"/>
      <c r="F7" s="2389"/>
      <c r="G7" s="2389"/>
      <c r="H7" s="2389"/>
      <c r="I7" s="2391"/>
      <c r="J7" s="2390">
        <f>I6&amp;".1"</f>
      </c>
      <c r="K7" s="1590"/>
      <c r="L7" s="1591" t="s">
        <v>512</v>
      </c>
      <c r="M7" s="759"/>
      <c r="N7" s="1593"/>
      <c r="P7" s="2392"/>
      <c r="Q7" s="2392">
        <v>1</v>
      </c>
      <c r="R7" s="579"/>
      <c r="S7" s="1563">
        <f>$J7</f>
      </c>
      <c r="T7" s="508" t="s">
        <v>513</v>
      </c>
      <c r="U7" s="522"/>
      <c r="V7" s="2376"/>
      <c r="W7" s="2377"/>
      <c r="X7" s="2377"/>
      <c r="Y7" s="2377"/>
      <c r="Z7" s="2377"/>
      <c r="AA7" s="2377"/>
      <c r="AB7" s="2377"/>
      <c r="AC7" s="2378"/>
      <c r="AD7" s="2376"/>
      <c r="AE7" s="2377"/>
      <c r="AF7" s="2377"/>
      <c r="AG7" s="2377"/>
      <c r="AH7" s="2377"/>
      <c r="AI7" s="2377"/>
      <c r="AJ7" s="2377"/>
      <c r="AK7" s="2377"/>
      <c r="AL7" s="2378"/>
      <c r="AM7" s="1484" t="s">
        <v>514</v>
      </c>
      <c r="AO7" s="722"/>
      <c r="AP7" s="722" t="str">
        <f>IF(T7="","",T7)</f>
        <v>Группа потребителей</v>
      </c>
      <c r="AQ7" s="722"/>
      <c r="AR7" s="722"/>
    </row>
    <row customHeight="1" ht="21" hidden="1">
      <c r="A8" s="1590"/>
      <c r="B8" s="1590"/>
      <c r="C8" s="1590"/>
      <c r="D8" s="1590"/>
      <c r="E8" s="2389"/>
      <c r="F8" s="2389"/>
      <c r="G8" s="2389"/>
      <c r="H8" s="2389"/>
      <c r="I8" s="2391"/>
      <c r="J8" s="2391"/>
      <c r="K8" s="2390">
        <f>J7&amp;".1"</f>
      </c>
      <c r="L8" s="1591" t="s">
        <v>515</v>
      </c>
      <c r="M8" s="759"/>
      <c r="N8" s="1593"/>
      <c r="O8" s="1593"/>
      <c r="P8" s="2392"/>
      <c r="Q8" s="2392"/>
      <c r="R8" s="579">
        <v>1</v>
      </c>
      <c r="S8" s="1563">
        <f>$K8</f>
      </c>
      <c r="T8" s="1574"/>
      <c r="U8" s="522"/>
      <c r="V8" s="547"/>
      <c r="W8" s="973"/>
      <c r="X8" s="547"/>
      <c r="Y8" s="606"/>
      <c r="Z8" s="2393"/>
      <c r="AA8" s="2263" t="s">
        <v>63</v>
      </c>
      <c r="AB8" s="2393"/>
      <c r="AC8" s="2263" t="s">
        <v>63</v>
      </c>
      <c r="AD8" s="547"/>
      <c r="AE8" s="973"/>
      <c r="AF8" s="547"/>
      <c r="AG8" s="606"/>
      <c r="AH8" s="2393"/>
      <c r="AI8" s="2263" t="s">
        <v>63</v>
      </c>
      <c r="AJ8" s="2393"/>
      <c r="AK8" s="2263" t="s">
        <v>63</v>
      </c>
      <c r="AL8" s="547"/>
      <c r="AM8" s="2418" t="s">
        <v>516</v>
      </c>
      <c r="AN8" s="733">
        <f>STRCHECKDATE(V9:AL9)</f>
      </c>
      <c r="AO8" s="722"/>
      <c r="AP8" s="722" t="str">
        <f>IF(T8="","",T8)</f>
        <v/>
      </c>
      <c r="AQ8" s="722"/>
      <c r="AR8" s="722"/>
    </row>
    <row customHeight="1" ht="0.75" hidden="1">
      <c r="A9" s="1590"/>
      <c r="B9" s="1590"/>
      <c r="C9" s="1590"/>
      <c r="D9" s="1590"/>
      <c r="E9" s="2389"/>
      <c r="F9" s="2389"/>
      <c r="G9" s="2389"/>
      <c r="H9" s="2389"/>
      <c r="I9" s="2391"/>
      <c r="J9" s="2391"/>
      <c r="K9" s="2390"/>
      <c r="L9" s="1591"/>
      <c r="M9" s="759"/>
      <c r="N9" s="1593"/>
      <c r="O9" s="1593"/>
      <c r="P9" s="2392"/>
      <c r="Q9" s="2392"/>
      <c r="R9" s="579"/>
      <c r="S9" s="1569"/>
      <c r="T9" s="522"/>
      <c r="U9" s="522"/>
      <c r="V9" s="547"/>
      <c r="W9" s="547"/>
      <c r="X9" s="547"/>
      <c r="Y9" s="550" t="str">
        <f>Z8&amp;"-"&amp;AB8</f>
        <v>-</v>
      </c>
      <c r="Z9" s="2394"/>
      <c r="AA9" s="2263"/>
      <c r="AB9" s="2394"/>
      <c r="AC9" s="2263"/>
      <c r="AD9" s="547"/>
      <c r="AE9" s="547"/>
      <c r="AF9" s="547"/>
      <c r="AG9" s="550" t="str">
        <f>AH8&amp;"-"&amp;AJ8</f>
        <v>-</v>
      </c>
      <c r="AH9" s="2394"/>
      <c r="AI9" s="2263"/>
      <c r="AJ9" s="2394"/>
      <c r="AK9" s="2263"/>
      <c r="AL9" s="547"/>
      <c r="AM9" s="2419"/>
      <c r="AO9" s="722"/>
      <c r="AP9" s="722" t="str">
        <f>IF(T9="","",T9)</f>
        <v/>
      </c>
      <c r="AQ9" s="722"/>
      <c r="AR9" s="722"/>
    </row>
    <row customHeight="1" ht="15" hidden="1">
      <c r="A10" s="1590"/>
      <c r="B10" s="1590"/>
      <c r="C10" s="1590"/>
      <c r="D10" s="1590"/>
      <c r="E10" s="2389"/>
      <c r="F10" s="2389"/>
      <c r="G10" s="2389"/>
      <c r="H10" s="2389"/>
      <c r="I10" s="2391"/>
      <c r="J10" s="2390"/>
      <c r="K10" s="1590"/>
      <c r="L10" s="1591"/>
      <c r="M10" s="759"/>
      <c r="N10" s="1593"/>
      <c r="P10" s="2392"/>
      <c r="Q10" s="2392"/>
      <c r="R10" s="578"/>
      <c r="S10" s="1505"/>
      <c r="T10" s="510" t="s">
        <v>517</v>
      </c>
      <c r="U10" s="589"/>
      <c r="V10" s="589"/>
      <c r="W10" s="589"/>
      <c r="X10" s="589"/>
      <c r="Y10" s="589"/>
      <c r="Z10" s="589"/>
      <c r="AA10" s="589"/>
      <c r="AB10" s="589"/>
      <c r="AC10" s="589"/>
      <c r="AD10" s="589"/>
      <c r="AE10" s="589"/>
      <c r="AF10" s="589"/>
      <c r="AG10" s="589"/>
      <c r="AH10" s="589"/>
      <c r="AI10" s="589"/>
      <c r="AJ10" s="589"/>
      <c r="AK10" s="589"/>
      <c r="AL10" s="546"/>
      <c r="AM10" s="2420"/>
      <c r="AO10" s="722"/>
      <c r="AP10" s="722" t="str">
        <f>IF(T10="","",T10)</f>
        <v>Добавить вид теплоносителя (параметры теплоносителя)</v>
      </c>
      <c r="AQ10" s="722"/>
      <c r="AR10" s="722"/>
    </row>
    <row customHeight="1" ht="15" hidden="1">
      <c r="A11" s="1590"/>
      <c r="B11" s="1590"/>
      <c r="C11" s="1590"/>
      <c r="D11" s="1590"/>
      <c r="E11" s="2389"/>
      <c r="F11" s="2389"/>
      <c r="G11" s="2389"/>
      <c r="H11" s="2389"/>
      <c r="I11" s="2390"/>
      <c r="J11" s="1590"/>
      <c r="K11" s="1590"/>
      <c r="L11" s="1591"/>
      <c r="M11" s="759"/>
      <c r="P11" s="2392"/>
      <c r="Q11" s="1558"/>
      <c r="R11" s="578"/>
      <c r="S11" s="1505"/>
      <c r="T11" s="509" t="s">
        <v>518</v>
      </c>
      <c r="U11" s="589"/>
      <c r="V11" s="589"/>
      <c r="W11" s="589"/>
      <c r="X11" s="589"/>
      <c r="Y11" s="589"/>
      <c r="Z11" s="589"/>
      <c r="AA11" s="589"/>
      <c r="AB11" s="589"/>
      <c r="AC11" s="588"/>
      <c r="AD11" s="589"/>
      <c r="AE11" s="589"/>
      <c r="AF11" s="589"/>
      <c r="AG11" s="589"/>
      <c r="AH11" s="589"/>
      <c r="AI11" s="589"/>
      <c r="AJ11" s="589"/>
      <c r="AK11" s="588"/>
      <c r="AL11" s="589"/>
      <c r="AM11" s="525"/>
      <c r="AO11" s="722"/>
      <c r="AP11" s="722" t="str">
        <f>IF(T11="","",T11)</f>
        <v>Добавить группу потребителей</v>
      </c>
      <c r="AQ11" s="722"/>
      <c r="AR11" s="722"/>
    </row>
    <row customHeight="1" ht="14.25" hidden="1">
      <c r="A12" s="1590"/>
      <c r="B12" s="1590"/>
      <c r="C12" s="1590"/>
      <c r="D12" s="1590"/>
      <c r="E12" s="2389"/>
      <c r="F12" s="2389"/>
      <c r="G12" s="2389"/>
      <c r="H12" s="2388"/>
      <c r="I12" s="1590"/>
      <c r="J12" s="1590"/>
      <c r="K12" s="1590"/>
      <c r="L12" s="1591"/>
      <c r="M12" s="1592"/>
      <c r="N12" s="1592"/>
      <c r="O12" s="759"/>
      <c r="P12" s="582"/>
      <c r="Q12" s="597"/>
      <c r="R12" s="577"/>
      <c r="S12" s="1505"/>
      <c r="T12" s="587" t="s">
        <v>519</v>
      </c>
      <c r="U12" s="589"/>
      <c r="V12" s="589"/>
      <c r="W12" s="589"/>
      <c r="X12" s="589"/>
      <c r="Y12" s="589"/>
      <c r="Z12" s="589"/>
      <c r="AA12" s="589"/>
      <c r="AB12" s="589"/>
      <c r="AC12" s="588"/>
      <c r="AD12" s="589"/>
      <c r="AE12" s="589"/>
      <c r="AF12" s="589"/>
      <c r="AG12" s="589"/>
      <c r="AH12" s="589"/>
      <c r="AI12" s="589"/>
      <c r="AJ12" s="589"/>
      <c r="AK12" s="588"/>
      <c r="AL12" s="589"/>
      <c r="AM12" s="525"/>
      <c r="AO12" s="722"/>
      <c r="AP12" s="722" t="str">
        <f>IF(T12="","",T12)</f>
        <v>Добавить схему подключения</v>
      </c>
      <c r="AQ12" s="722"/>
      <c r="AR12" s="722"/>
    </row>
    <row s="16531" customFormat="1" customHeight="1" ht="0.75" hidden="1">
      <c r="A13" s="1541"/>
      <c r="B13" s="1541"/>
      <c r="C13" s="1541"/>
      <c r="D13" s="1541"/>
      <c r="E13" s="2389"/>
      <c r="F13" s="2389"/>
      <c r="G13" s="2388"/>
      <c r="H13" s="1541"/>
      <c r="I13" s="1541"/>
      <c r="J13" s="1541"/>
      <c r="K13" s="1541"/>
      <c r="L13" s="1566"/>
      <c r="M13" s="1542"/>
      <c r="N13" s="1542"/>
      <c r="P13" s="1543"/>
      <c r="Q13" s="1544"/>
      <c r="R13" s="1543"/>
      <c r="S13" s="1545"/>
      <c r="T13" s="1546" t="s">
        <v>520</v>
      </c>
      <c r="U13" s="1547"/>
      <c r="V13" s="1547"/>
      <c r="W13" s="1547"/>
      <c r="X13" s="1547"/>
      <c r="Y13" s="1547"/>
      <c r="Z13" s="1547"/>
      <c r="AA13" s="1547"/>
      <c r="AB13" s="1547"/>
      <c r="AC13" s="1547"/>
      <c r="AD13" s="1547"/>
      <c r="AE13" s="1547"/>
      <c r="AF13" s="1547"/>
      <c r="AG13" s="1547"/>
      <c r="AH13" s="1547"/>
      <c r="AI13" s="1547"/>
      <c r="AJ13" s="1547"/>
      <c r="AK13" s="1547"/>
      <c r="AL13" s="1547"/>
      <c r="AM13" s="1547"/>
      <c r="AO13" s="1011"/>
      <c r="AP13" s="1011" t="str">
        <f>IF(T13="","",T13)</f>
        <v>Добавить источник для дифференциации</v>
      </c>
      <c r="AQ13" s="1011"/>
      <c r="AR13" s="1011"/>
    </row>
    <row s="16531" customFormat="1" customHeight="1" ht="0.75" hidden="1">
      <c r="A14" s="1541"/>
      <c r="B14" s="1541"/>
      <c r="C14" s="1541"/>
      <c r="D14" s="1541"/>
      <c r="E14" s="2389"/>
      <c r="F14" s="2388"/>
      <c r="G14" s="1541"/>
      <c r="H14" s="1541"/>
      <c r="I14" s="1541"/>
      <c r="J14" s="1541"/>
      <c r="K14" s="1541"/>
      <c r="L14" s="1566"/>
      <c r="M14" s="1548"/>
      <c r="N14" s="1548"/>
      <c r="P14" s="1543"/>
      <c r="Q14" s="1544"/>
      <c r="R14" s="1543"/>
      <c r="S14" s="1549"/>
      <c r="T14" s="1550" t="s">
        <v>305</v>
      </c>
      <c r="U14" s="1551"/>
      <c r="V14" s="1551"/>
      <c r="W14" s="1551"/>
      <c r="X14" s="1551"/>
      <c r="Y14" s="1551"/>
      <c r="Z14" s="1551"/>
      <c r="AA14" s="1551"/>
      <c r="AB14" s="1551"/>
      <c r="AC14" s="1551"/>
      <c r="AD14" s="1551"/>
      <c r="AE14" s="1551"/>
      <c r="AF14" s="1551"/>
      <c r="AG14" s="1551"/>
      <c r="AH14" s="1551"/>
      <c r="AI14" s="1551"/>
      <c r="AJ14" s="1551"/>
      <c r="AK14" s="1551"/>
      <c r="AL14" s="1551"/>
      <c r="AM14" s="1551"/>
      <c r="AO14" s="1011"/>
      <c r="AP14" s="1011" t="str">
        <f>IF(T14="","",T14)</f>
        <v>Добавить централизованную систему для дифференциации</v>
      </c>
      <c r="AQ14" s="1011"/>
      <c r="AR14" s="1011"/>
    </row>
    <row s="16531" customFormat="1" customHeight="1" ht="0.75" hidden="1">
      <c r="A15" s="1541"/>
      <c r="B15" s="1541"/>
      <c r="C15" s="1541"/>
      <c r="D15" s="1541"/>
      <c r="E15" s="2388"/>
      <c r="F15" s="1541"/>
      <c r="G15" s="1541"/>
      <c r="H15" s="1541"/>
      <c r="I15" s="1541"/>
      <c r="J15" s="1541"/>
      <c r="K15" s="1541"/>
      <c r="L15" s="1566"/>
      <c r="M15" s="1548"/>
      <c r="N15" s="1548"/>
      <c r="P15" s="1543"/>
      <c r="Q15" s="1544"/>
      <c r="R15" s="1543"/>
      <c r="S15" s="1549"/>
      <c r="T15" s="1552" t="s">
        <v>358</v>
      </c>
      <c r="U15" s="1551"/>
      <c r="V15" s="1551"/>
      <c r="W15" s="1551"/>
      <c r="X15" s="1551"/>
      <c r="Y15" s="1551"/>
      <c r="Z15" s="1551"/>
      <c r="AA15" s="1551"/>
      <c r="AB15" s="1551"/>
      <c r="AC15" s="1551"/>
      <c r="AD15" s="1551"/>
      <c r="AE15" s="1551"/>
      <c r="AF15" s="1551"/>
      <c r="AG15" s="1551"/>
      <c r="AH15" s="1551"/>
      <c r="AI15" s="1551"/>
      <c r="AJ15" s="1551"/>
      <c r="AK15" s="1551"/>
      <c r="AL15" s="1551"/>
      <c r="AM15" s="1551"/>
      <c r="AO15" s="1011"/>
      <c r="AP15" s="1011" t="str">
        <f>IF(T15="","",T15)</f>
        <v>Добавить территорию для дифференциации</v>
      </c>
      <c r="AQ15" s="1011"/>
      <c r="AR15" s="1011"/>
    </row>
    <row customHeight="1" ht="14.25" hidden="1">
      <c r="AC16" s="549"/>
      <c r="AK16" s="549"/>
    </row>
    <row customHeight="1" ht="14.25" hidden="1">
      <c r="AD17" s="1587"/>
      <c r="AE17" s="1587"/>
      <c r="AF17" s="1587"/>
      <c r="AG17" s="1588"/>
      <c r="AH17" s="2386"/>
      <c r="AI17" s="2385" t="s">
        <v>63</v>
      </c>
      <c r="AJ17" s="2386"/>
      <c r="AK17" s="2385" t="s">
        <v>63</v>
      </c>
    </row>
    <row customHeight="1" ht="14.25" hidden="1">
      <c r="AD18" s="1587"/>
      <c r="AE18" s="1587"/>
      <c r="AF18" s="1587"/>
      <c r="AG18" s="550" t="str">
        <f>AH17&amp;"-"&amp;AJ17</f>
        <v>-</v>
      </c>
      <c r="AH18" s="2385"/>
      <c r="AI18" s="2385"/>
      <c r="AJ18" s="2385"/>
      <c r="AK18" s="2385"/>
    </row>
    <row customHeight="1" ht="14.25" hidden="1">
      <c r="AK19" s="549"/>
    </row>
    <row s="16550" customFormat="1" customHeight="1" ht="22.5" hidden="1">
      <c r="L20" s="1556"/>
      <c r="M20" s="1589"/>
      <c r="N20" s="1589"/>
      <c r="O20" s="1594" t="s">
        <v>521</v>
      </c>
      <c r="P20" s="1589"/>
      <c r="Q20" s="1598"/>
      <c r="R20" s="1598"/>
      <c r="S20" s="951"/>
      <c r="Z20" s="1594"/>
      <c r="AB20" s="1594"/>
      <c r="AC20" s="1593"/>
      <c r="AH20" s="1594"/>
      <c r="AJ20" s="1594"/>
      <c r="AK20" s="1593"/>
      <c r="AN20" s="733"/>
      <c r="AO20" s="733"/>
      <c r="AP20" s="733"/>
      <c r="AQ20" s="733"/>
      <c r="AR20" s="733"/>
    </row>
    <row s="16550" customFormat="1" customHeight="1" ht="14.25" hidden="1">
      <c r="L21" s="1556"/>
      <c r="M21" s="1589"/>
      <c r="N21" s="1589"/>
      <c r="O21" s="1589"/>
      <c r="P21" s="1589"/>
      <c r="Q21" s="1598"/>
      <c r="R21" s="1598"/>
      <c r="S21" s="951"/>
      <c r="AC21" s="1593"/>
      <c r="AK21" s="1593"/>
      <c r="AN21" s="733"/>
      <c r="AO21" s="733"/>
      <c r="AP21" s="733"/>
      <c r="AQ21" s="733"/>
      <c r="AR21" s="733"/>
    </row>
    <row s="16550" customFormat="1" customHeight="1" ht="33.75" hidden="1">
      <c r="L22" s="1556"/>
      <c r="M22" s="1589"/>
      <c r="N22" s="1589"/>
      <c r="O22" s="1591" t="s">
        <v>522</v>
      </c>
      <c r="P22" s="1589"/>
      <c r="Q22" s="1598"/>
      <c r="R22" s="1598"/>
      <c r="S22" s="951"/>
      <c r="T22" s="1384" t="s">
        <v>523</v>
      </c>
      <c r="AA22" s="408" t="s">
        <v>524</v>
      </c>
      <c r="AC22" s="408" t="s">
        <v>525</v>
      </c>
      <c r="AD22" s="1384" t="s">
        <v>523</v>
      </c>
      <c r="AI22" s="408" t="s">
        <v>526</v>
      </c>
      <c r="AK22" s="408" t="s">
        <v>525</v>
      </c>
      <c r="AN22" s="733"/>
      <c r="AO22" s="733"/>
      <c r="AP22" s="733"/>
      <c r="AQ22" s="733"/>
      <c r="AR22" s="733"/>
    </row>
    <row customHeight="1" ht="14.25" hidden="1">
      <c r="O23" s="1591"/>
    </row>
    <row customHeight="1" ht="14.25" hidden="1">
      <c r="O24" s="1591"/>
    </row>
    <row customHeight="1" ht="14.25">
      <c r="Q25" s="598"/>
      <c r="R25" s="598"/>
      <c r="S25" s="1502"/>
      <c r="T25" s="585"/>
      <c r="U25" s="585"/>
      <c r="V25" s="731"/>
      <c r="W25" s="731"/>
      <c r="X25" s="731"/>
      <c r="Y25" s="731"/>
      <c r="Z25" s="731"/>
      <c r="AA25" s="731"/>
      <c r="AB25" s="731"/>
      <c r="AC25" s="731"/>
      <c r="AD25" s="731"/>
      <c r="AE25" s="731"/>
      <c r="AF25" s="731"/>
      <c r="AG25" s="731"/>
      <c r="AH25" s="731"/>
      <c r="AI25" s="731"/>
      <c r="AJ25" s="731"/>
      <c r="AK25" s="731"/>
    </row>
    <row customHeight="1" ht="27.75">
      <c r="Q26" s="598"/>
      <c r="R26" s="598"/>
      <c r="S26" s="24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1"/>
      <c r="U26" s="2421"/>
      <c r="V26" s="2421"/>
      <c r="W26" s="2421"/>
      <c r="X26" s="2421"/>
      <c r="Y26" s="2421"/>
      <c r="Z26" s="2421"/>
      <c r="AA26" s="2421"/>
      <c r="AB26" s="2421"/>
      <c r="AC26" s="2421"/>
      <c r="AD26" s="2421"/>
      <c r="AE26" s="2421"/>
      <c r="AF26" s="2421"/>
      <c r="AG26" s="2421"/>
      <c r="AH26" s="2421"/>
      <c r="AI26" s="2421"/>
      <c r="AJ26" s="2421"/>
      <c r="AK26" s="1469"/>
    </row>
    <row customHeight="1" ht="14.25">
      <c r="Q27" s="598"/>
      <c r="R27" s="598"/>
      <c r="S27" s="2422" t="str">
        <f>IF(org=0,"Не определено",org)</f>
        <v>КГУП "Примтеплоэнерго"</v>
      </c>
      <c r="T27" s="2422"/>
      <c r="U27" s="2422"/>
      <c r="V27" s="2422"/>
      <c r="W27" s="2422"/>
      <c r="X27" s="2422"/>
      <c r="Y27" s="2422"/>
      <c r="Z27" s="2422"/>
      <c r="AA27" s="2422"/>
      <c r="AB27" s="2422"/>
      <c r="AC27" s="2422"/>
      <c r="AD27" s="2422"/>
      <c r="AE27" s="2422"/>
      <c r="AF27" s="2422"/>
      <c r="AG27" s="2422"/>
      <c r="AH27" s="2422"/>
      <c r="AI27" s="2422"/>
      <c r="AJ27" s="2422"/>
      <c r="AK27" s="1469"/>
    </row>
    <row customHeight="1" ht="14.25" hidden="1">
      <c r="Q28" s="598"/>
      <c r="R28" s="598"/>
      <c r="S28" s="1502"/>
      <c r="T28" s="585"/>
      <c r="U28" s="585"/>
      <c r="V28" s="544"/>
      <c r="W28" s="544"/>
      <c r="X28" s="544"/>
      <c r="Y28" s="544"/>
      <c r="Z28" s="544"/>
      <c r="AA28" s="544"/>
      <c r="AB28" s="544"/>
      <c r="AC28" s="544"/>
      <c r="AD28" s="544"/>
      <c r="AE28" s="544"/>
      <c r="AF28" s="544"/>
      <c r="AG28" s="544"/>
      <c r="AH28" s="544"/>
      <c r="AI28" s="544"/>
      <c r="AJ28" s="544"/>
      <c r="AK28" s="544"/>
      <c r="AL28" s="731"/>
    </row>
    <row s="16563" customFormat="1" customHeight="1" ht="25.5" hidden="1">
      <c r="A29" s="1595"/>
      <c r="B29" s="1595"/>
      <c r="C29" s="1595"/>
      <c r="D29" s="1595"/>
      <c r="E29" s="1595"/>
      <c r="F29" s="1595"/>
      <c r="G29" s="1595"/>
      <c r="H29" s="1595"/>
      <c r="I29" s="1595"/>
      <c r="J29" s="1595"/>
      <c r="K29" s="1595"/>
      <c r="L29" s="1596"/>
      <c r="M29" s="1595"/>
      <c r="N29" s="1595"/>
      <c r="O29" s="1595"/>
      <c r="S29" s="2379" t="s">
        <v>38</v>
      </c>
      <c r="T29" s="2379"/>
      <c r="U29" s="1599"/>
      <c r="V29" s="2381" t="str">
        <f>IF(TITLE_NAME_OR_PR_CHANGE="",IF(TITLE_NAME_OR_PR="","",TITLE_NAME_OR_PR),TITLE_NAME_OR_PR_CHANGE)</f>
        <v/>
      </c>
      <c r="W29" s="2381"/>
      <c r="X29" s="2381"/>
      <c r="Y29" s="2381"/>
      <c r="Z29" s="2381"/>
      <c r="AA29" s="2381"/>
      <c r="AB29" s="2381"/>
      <c r="AC29" s="548"/>
      <c r="AD29" s="2381" t="str">
        <f>IF(TITLE_NAME_OR_PR_CHANGE="",IF(TITLE_NAME_OR_PR="","",TITLE_NAME_OR_PR),TITLE_NAME_OR_PR_CHANGE)</f>
        <v/>
      </c>
      <c r="AE29" s="2381"/>
      <c r="AF29" s="2381"/>
      <c r="AG29" s="2381"/>
      <c r="AH29" s="2381"/>
      <c r="AI29" s="2381"/>
      <c r="AJ29" s="2381"/>
      <c r="AK29" s="548"/>
      <c r="AL29" s="548"/>
      <c r="AM29" s="502"/>
      <c r="AN29" s="590"/>
      <c r="AO29" s="590"/>
      <c r="AP29" s="590"/>
      <c r="AQ29" s="590"/>
      <c r="AR29" s="590"/>
    </row>
    <row s="16563" customFormat="1" customHeight="1" ht="18.75" hidden="1">
      <c r="A30" s="1595"/>
      <c r="B30" s="1595"/>
      <c r="C30" s="1595"/>
      <c r="D30" s="1595"/>
      <c r="E30" s="1595"/>
      <c r="F30" s="1595"/>
      <c r="G30" s="1595"/>
      <c r="H30" s="1595"/>
      <c r="I30" s="1595"/>
      <c r="J30" s="1595"/>
      <c r="K30" s="1595"/>
      <c r="L30" s="1596"/>
      <c r="M30" s="1595"/>
      <c r="N30" s="1595"/>
      <c r="O30" s="1595"/>
      <c r="S30" s="2379" t="s">
        <v>527</v>
      </c>
      <c r="T30" s="2379"/>
      <c r="U30" s="1599"/>
      <c r="V30" s="2380" t="str">
        <f>IF(TITLE_DATE_PR_CHANGE="",IF(TITLE_DATE_PR="","",TITLE_DATE_PR),TITLE_DATE_PR_CHANGE)</f>
        <v>45407.47206018519</v>
      </c>
      <c r="W30" s="2380"/>
      <c r="X30" s="2380"/>
      <c r="Y30" s="2380"/>
      <c r="Z30" s="2380"/>
      <c r="AA30" s="2380"/>
      <c r="AB30" s="2380"/>
      <c r="AC30" s="548"/>
      <c r="AD30" s="2380" t="str">
        <f>IF(TITLE_DATE_PR_CHANGE="",IF(TITLE_DATE_PR="","",TITLE_DATE_PR),TITLE_DATE_PR_CHANGE)</f>
        <v>45407.47206018519</v>
      </c>
      <c r="AE30" s="2380"/>
      <c r="AF30" s="2380"/>
      <c r="AG30" s="2380"/>
      <c r="AH30" s="2380"/>
      <c r="AI30" s="2380"/>
      <c r="AJ30" s="2380"/>
      <c r="AK30" s="548"/>
      <c r="AL30" s="548"/>
      <c r="AM30" s="502"/>
      <c r="AN30" s="590"/>
      <c r="AO30" s="590"/>
      <c r="AP30" s="590"/>
      <c r="AQ30" s="590"/>
      <c r="AR30" s="590"/>
    </row>
    <row s="16563" customFormat="1" customHeight="1" ht="18.75" hidden="1">
      <c r="A31" s="1595"/>
      <c r="B31" s="1595"/>
      <c r="C31" s="1595"/>
      <c r="D31" s="1595"/>
      <c r="E31" s="1595"/>
      <c r="F31" s="1595"/>
      <c r="G31" s="1595"/>
      <c r="H31" s="1595"/>
      <c r="I31" s="1595"/>
      <c r="J31" s="1595"/>
      <c r="K31" s="1595"/>
      <c r="L31" s="1596"/>
      <c r="M31" s="1595"/>
      <c r="N31" s="1595"/>
      <c r="O31" s="1595"/>
      <c r="S31" s="2379" t="s">
        <v>528</v>
      </c>
      <c r="T31" s="2379"/>
      <c r="U31" s="1599"/>
      <c r="V31" s="2381" t="str">
        <f>IF(TITLE_NUMBER_PR_CHANGE="",IF(TITLE_NUMBER_PR="","",TITLE_NUMBER_PR),TITLE_NUMBER_PR_CHANGE)</f>
        <v>27-2067</v>
      </c>
      <c r="W31" s="2381"/>
      <c r="X31" s="2381"/>
      <c r="Y31" s="2381"/>
      <c r="Z31" s="2381"/>
      <c r="AA31" s="2381"/>
      <c r="AB31" s="2381"/>
      <c r="AC31" s="548"/>
      <c r="AD31" s="2381" t="str">
        <f>IF(TITLE_NUMBER_PR_CHANGE="",IF(TITLE_NUMBER_PR="","",TITLE_NUMBER_PR),TITLE_NUMBER_PR_CHANGE)</f>
        <v>27-2067</v>
      </c>
      <c r="AE31" s="2381"/>
      <c r="AF31" s="2381"/>
      <c r="AG31" s="2381"/>
      <c r="AH31" s="2381"/>
      <c r="AI31" s="2381"/>
      <c r="AJ31" s="2381"/>
      <c r="AK31" s="548"/>
      <c r="AL31" s="548"/>
      <c r="AM31" s="502"/>
      <c r="AN31" s="590"/>
      <c r="AO31" s="590"/>
      <c r="AP31" s="590"/>
      <c r="AQ31" s="590"/>
      <c r="AR31" s="590"/>
    </row>
    <row s="16563" customFormat="1" customHeight="1" ht="18.75" hidden="1">
      <c r="A32" s="1595"/>
      <c r="B32" s="1595"/>
      <c r="C32" s="1595"/>
      <c r="D32" s="1595"/>
      <c r="E32" s="1595"/>
      <c r="F32" s="1595"/>
      <c r="G32" s="1595"/>
      <c r="H32" s="1595"/>
      <c r="I32" s="1595"/>
      <c r="J32" s="1595"/>
      <c r="K32" s="1595"/>
      <c r="L32" s="1596"/>
      <c r="M32" s="1595"/>
      <c r="N32" s="1595"/>
      <c r="O32" s="1595"/>
      <c r="S32" s="2379" t="s">
        <v>39</v>
      </c>
      <c r="T32" s="2379"/>
      <c r="U32" s="1599"/>
      <c r="V32" s="2381" t="str">
        <f>IF(TITLE_IST_PUB_CHANGE="",IF(TITLE_IST_PUB="","",TITLE_IST_PUB),TITLE_IST_PUB_CHANGE)</f>
        <v/>
      </c>
      <c r="W32" s="2381"/>
      <c r="X32" s="2381"/>
      <c r="Y32" s="2381"/>
      <c r="Z32" s="2381"/>
      <c r="AA32" s="2381"/>
      <c r="AB32" s="2381"/>
      <c r="AC32" s="548"/>
      <c r="AD32" s="2381" t="str">
        <f>IF(TITLE_IST_PUB_CHANGE="",IF(TITLE_IST_PUB="","",TITLE_IST_PUB),TITLE_IST_PUB_CHANGE)</f>
        <v/>
      </c>
      <c r="AE32" s="2381"/>
      <c r="AF32" s="2381"/>
      <c r="AG32" s="2381"/>
      <c r="AH32" s="2381"/>
      <c r="AI32" s="2381"/>
      <c r="AJ32" s="2381"/>
      <c r="AK32" s="548"/>
      <c r="AL32" s="548"/>
      <c r="AM32" s="502"/>
      <c r="AN32" s="590"/>
      <c r="AO32" s="590"/>
      <c r="AP32" s="590"/>
      <c r="AQ32" s="590"/>
      <c r="AR32" s="590"/>
    </row>
    <row customHeight="1" ht="14.25">
      <c r="Q33" s="598"/>
      <c r="R33" s="598"/>
      <c r="S33" s="1502"/>
      <c r="T33" s="585"/>
      <c r="U33" s="585"/>
      <c r="V33" s="544"/>
      <c r="W33" s="544"/>
      <c r="X33" s="544"/>
      <c r="Y33" s="544"/>
      <c r="Z33" s="544"/>
      <c r="AA33" s="544"/>
      <c r="AB33" s="544"/>
      <c r="AC33" s="544"/>
      <c r="AD33" s="544"/>
      <c r="AE33" s="544"/>
      <c r="AF33" s="544"/>
      <c r="AG33" s="544"/>
      <c r="AH33" s="544"/>
      <c r="AI33" s="544"/>
      <c r="AJ33" s="544"/>
      <c r="AK33" s="544"/>
      <c r="AL33" s="731"/>
    </row>
    <row s="16563" customFormat="1" customHeight="1" ht="18.75">
      <c r="A34" s="1595"/>
      <c r="B34" s="1595"/>
      <c r="C34" s="1595"/>
      <c r="D34" s="1595"/>
      <c r="E34" s="1595"/>
      <c r="F34" s="1595"/>
      <c r="G34" s="1595"/>
      <c r="H34" s="1595"/>
      <c r="I34" s="1595"/>
      <c r="J34" s="1595"/>
      <c r="K34" s="1595"/>
      <c r="L34" s="1596"/>
      <c r="M34" s="1595"/>
      <c r="N34" s="1595"/>
      <c r="O34" s="1595"/>
      <c r="S34" s="2379" t="s">
        <v>529</v>
      </c>
      <c r="T34" s="2379"/>
      <c r="U34" s="1599"/>
      <c r="V34" s="2380" t="str">
        <f>IF(TITLE_DATE_PR_CHANGE="",IF(TITLE_DATE_PR="","",TITLE_DATE_PR),TITLE_DATE_PR_CHANGE)</f>
        <v>45407.47206018519</v>
      </c>
      <c r="W34" s="2380"/>
      <c r="X34" s="2380"/>
      <c r="Y34" s="2380"/>
      <c r="Z34" s="2380"/>
      <c r="AA34" s="2380"/>
      <c r="AB34" s="2380"/>
      <c r="AC34" s="548"/>
      <c r="AD34" s="2380" t="str">
        <f>IF(TITLE_DATE_PR_CHANGE="",IF(TITLE_DATE_PR="","",TITLE_DATE_PR),TITLE_DATE_PR_CHANGE)</f>
        <v>45407.47206018519</v>
      </c>
      <c r="AE34" s="2380"/>
      <c r="AF34" s="2380"/>
      <c r="AG34" s="2380"/>
      <c r="AH34" s="2380"/>
      <c r="AI34" s="2380"/>
      <c r="AJ34" s="2380"/>
      <c r="AK34" s="548"/>
      <c r="AL34" s="548"/>
      <c r="AM34" s="502"/>
      <c r="AN34" s="590"/>
      <c r="AO34" s="590"/>
      <c r="AP34" s="590"/>
      <c r="AQ34" s="590"/>
      <c r="AR34" s="590"/>
    </row>
    <row s="16563" customFormat="1" customHeight="1" ht="18.75">
      <c r="A35" s="1595"/>
      <c r="B35" s="1595"/>
      <c r="C35" s="1595"/>
      <c r="D35" s="1595"/>
      <c r="E35" s="1595"/>
      <c r="F35" s="1595"/>
      <c r="G35" s="1595"/>
      <c r="H35" s="1595"/>
      <c r="I35" s="1595"/>
      <c r="J35" s="1595"/>
      <c r="K35" s="1595"/>
      <c r="L35" s="1596"/>
      <c r="M35" s="1595"/>
      <c r="N35" s="1595"/>
      <c r="O35" s="1595"/>
      <c r="S35" s="2379" t="s">
        <v>530</v>
      </c>
      <c r="T35" s="2379"/>
      <c r="U35" s="1599"/>
      <c r="V35" s="2381" t="str">
        <f>IF(TITLE_NUMBER_PR_CHANGE="",IF(TITLE_NUMBER_PR="","",TITLE_NUMBER_PR),TITLE_NUMBER_PR_CHANGE)</f>
        <v>27-2067</v>
      </c>
      <c r="W35" s="2381"/>
      <c r="X35" s="2381"/>
      <c r="Y35" s="2381"/>
      <c r="Z35" s="2381"/>
      <c r="AA35" s="2381"/>
      <c r="AB35" s="2381"/>
      <c r="AC35" s="548"/>
      <c r="AD35" s="2381" t="str">
        <f>IF(TITLE_NUMBER_PR_CHANGE="",IF(TITLE_NUMBER_PR="","",TITLE_NUMBER_PR),TITLE_NUMBER_PR_CHANGE)</f>
        <v>27-2067</v>
      </c>
      <c r="AE35" s="2381"/>
      <c r="AF35" s="2381"/>
      <c r="AG35" s="2381"/>
      <c r="AH35" s="2381"/>
      <c r="AI35" s="2381"/>
      <c r="AJ35" s="2381"/>
      <c r="AK35" s="548"/>
      <c r="AL35" s="548"/>
      <c r="AM35" s="502"/>
      <c r="AN35" s="590"/>
      <c r="AO35" s="590"/>
      <c r="AP35" s="590"/>
      <c r="AQ35" s="590"/>
      <c r="AR35" s="590"/>
    </row>
    <row s="16563" customFormat="1" customHeight="1" ht="0">
      <c r="A36" s="1595"/>
      <c r="B36" s="1595"/>
      <c r="C36" s="1595"/>
      <c r="D36" s="1595"/>
      <c r="E36" s="1595"/>
      <c r="F36" s="1595"/>
      <c r="G36" s="1595"/>
      <c r="H36" s="1595"/>
      <c r="I36" s="1595"/>
      <c r="J36" s="1595"/>
      <c r="K36" s="1595"/>
      <c r="L36" s="1596"/>
      <c r="M36" s="1595"/>
      <c r="N36" s="1595"/>
      <c r="O36" s="1595"/>
      <c r="S36" s="545"/>
      <c r="T36" s="545"/>
      <c r="U36" s="1567"/>
      <c r="V36" s="548"/>
      <c r="W36" s="548"/>
      <c r="X36" s="548"/>
      <c r="Y36" s="548"/>
      <c r="Z36" s="548"/>
      <c r="AA36" s="548"/>
      <c r="AB36" s="548"/>
      <c r="AC36" s="500" t="s">
        <v>531</v>
      </c>
      <c r="AD36" s="548"/>
      <c r="AE36" s="548"/>
      <c r="AF36" s="548"/>
      <c r="AG36" s="548"/>
      <c r="AH36" s="548"/>
      <c r="AI36" s="548"/>
      <c r="AJ36" s="548"/>
      <c r="AK36" s="500" t="s">
        <v>531</v>
      </c>
      <c r="AN36" s="590"/>
      <c r="AO36" s="590"/>
      <c r="AP36" s="590"/>
      <c r="AQ36" s="590"/>
      <c r="AR36" s="590"/>
    </row>
    <row customHeight="1" ht="14.25">
      <c r="Q37" s="598"/>
      <c r="R37" s="598"/>
      <c r="S37" s="1502"/>
      <c r="T37" s="585"/>
      <c r="U37" s="1470"/>
      <c r="V37" s="2405"/>
      <c r="W37" s="2405"/>
      <c r="X37" s="2405"/>
      <c r="Y37" s="2405"/>
      <c r="Z37" s="2405"/>
      <c r="AA37" s="2405"/>
      <c r="AB37" s="2405"/>
      <c r="AC37" s="2405"/>
      <c r="AD37" s="2405"/>
      <c r="AE37" s="2405"/>
      <c r="AF37" s="2405"/>
      <c r="AG37" s="2405"/>
      <c r="AH37" s="2405"/>
      <c r="AI37" s="2405"/>
      <c r="AJ37" s="2405"/>
      <c r="AK37" s="2405"/>
    </row>
    <row customHeight="1" ht="14.25">
      <c r="Q38" s="598"/>
      <c r="R38" s="598"/>
      <c r="S38" s="2253" t="s">
        <v>406</v>
      </c>
      <c r="T38" s="2253"/>
      <c r="U38" s="2253"/>
      <c r="V38" s="2253"/>
      <c r="W38" s="2253"/>
      <c r="X38" s="2253"/>
      <c r="Y38" s="2253"/>
      <c r="Z38" s="2253"/>
      <c r="AA38" s="2253"/>
      <c r="AB38" s="2253"/>
      <c r="AC38" s="2253"/>
      <c r="AD38" s="2253"/>
      <c r="AE38" s="2253"/>
      <c r="AF38" s="2253"/>
      <c r="AG38" s="2253"/>
      <c r="AH38" s="2253"/>
      <c r="AI38" s="2253"/>
      <c r="AJ38" s="2253"/>
      <c r="AK38" s="2253"/>
      <c r="AL38" s="2253"/>
      <c r="AM38" s="2253" t="s">
        <v>407</v>
      </c>
    </row>
    <row customHeight="1" ht="14.25">
      <c r="Q39" s="598"/>
      <c r="R39" s="598"/>
      <c r="S39" s="2406" t="s">
        <v>84</v>
      </c>
      <c r="T39" s="2343" t="s">
        <v>532</v>
      </c>
      <c r="U39" s="523"/>
      <c r="V39" s="2407" t="s">
        <v>533</v>
      </c>
      <c r="W39" s="2408"/>
      <c r="X39" s="2429"/>
      <c r="Y39" s="2429"/>
      <c r="Z39" s="2408"/>
      <c r="AA39" s="2408"/>
      <c r="AB39" s="2409"/>
      <c r="AC39" s="2410" t="s">
        <v>534</v>
      </c>
      <c r="AD39" s="2407" t="s">
        <v>533</v>
      </c>
      <c r="AE39" s="2408"/>
      <c r="AF39" s="2429"/>
      <c r="AG39" s="2429"/>
      <c r="AH39" s="2408"/>
      <c r="AI39" s="2408"/>
      <c r="AJ39" s="2409"/>
      <c r="AK39" s="2410" t="s">
        <v>535</v>
      </c>
      <c r="AL39" s="2413" t="s">
        <v>536</v>
      </c>
      <c r="AM39" s="2253"/>
    </row>
    <row customHeight="1" ht="23.25">
      <c r="Q40" s="598"/>
      <c r="R40" s="598"/>
      <c r="S40" s="2406"/>
      <c r="T40" s="2343"/>
      <c r="U40" s="1254"/>
      <c r="V40" s="2425" t="s">
        <v>537</v>
      </c>
      <c r="W40" s="2427" t="s">
        <v>538</v>
      </c>
      <c r="X40" s="1603" t="s">
        <v>539</v>
      </c>
      <c r="Y40" s="1603"/>
      <c r="Z40" s="2400" t="s">
        <v>540</v>
      </c>
      <c r="AA40" s="2400"/>
      <c r="AB40" s="2401"/>
      <c r="AC40" s="2411"/>
      <c r="AD40" s="2425" t="s">
        <v>537</v>
      </c>
      <c r="AE40" s="2427" t="s">
        <v>538</v>
      </c>
      <c r="AF40" s="1603" t="s">
        <v>539</v>
      </c>
      <c r="AG40" s="1603"/>
      <c r="AH40" s="2400" t="s">
        <v>540</v>
      </c>
      <c r="AI40" s="2400"/>
      <c r="AJ40" s="2401"/>
      <c r="AK40" s="2411"/>
      <c r="AL40" s="2414"/>
      <c r="AM40" s="2253"/>
    </row>
    <row s="16686" customFormat="1" customHeight="1" ht="23.25">
      <c r="A41" s="1597"/>
      <c r="B41" s="1597" t="s">
        <v>191</v>
      </c>
      <c r="C41" s="1597" t="s">
        <v>192</v>
      </c>
      <c r="D41" s="1597" t="s">
        <v>193</v>
      </c>
      <c r="E41" s="1591" t="s">
        <v>541</v>
      </c>
      <c r="F41" s="1591" t="s">
        <v>542</v>
      </c>
      <c r="G41" s="1591" t="s">
        <v>543</v>
      </c>
      <c r="H41" s="1591" t="s">
        <v>544</v>
      </c>
      <c r="I41" s="1591" t="s">
        <v>545</v>
      </c>
      <c r="J41" s="1591" t="s">
        <v>546</v>
      </c>
      <c r="K41" s="1591" t="s">
        <v>547</v>
      </c>
      <c r="L41" s="1591" t="s">
        <v>522</v>
      </c>
      <c r="M41" s="1589"/>
      <c r="N41" s="1589"/>
      <c r="O41" s="1589"/>
      <c r="P41" s="1555"/>
      <c r="Q41" s="598"/>
      <c r="R41" s="598"/>
      <c r="S41" s="2406"/>
      <c r="T41" s="2343"/>
      <c r="U41" s="524"/>
      <c r="V41" s="2426"/>
      <c r="W41" s="2428"/>
      <c r="X41" s="1600" t="s">
        <v>548</v>
      </c>
      <c r="Y41" s="1600" t="s">
        <v>549</v>
      </c>
      <c r="Z41" s="1561" t="s">
        <v>550</v>
      </c>
      <c r="AA41" s="2402" t="s">
        <v>551</v>
      </c>
      <c r="AB41" s="2403"/>
      <c r="AC41" s="2412"/>
      <c r="AD41" s="2426"/>
      <c r="AE41" s="2428"/>
      <c r="AF41" s="1600" t="s">
        <v>548</v>
      </c>
      <c r="AG41" s="1600" t="s">
        <v>549</v>
      </c>
      <c r="AH41" s="1561" t="s">
        <v>550</v>
      </c>
      <c r="AI41" s="2402" t="s">
        <v>551</v>
      </c>
      <c r="AJ41" s="2403"/>
      <c r="AK41" s="2412"/>
      <c r="AL41" s="2415"/>
      <c r="AM41" s="2253"/>
      <c r="AN41" s="733"/>
      <c r="AO41" s="722"/>
      <c r="AP41" s="722"/>
      <c r="AQ41" s="722"/>
      <c r="AR41" s="722"/>
    </row>
    <row s="16382" customFormat="1" customHeight="1" ht="11.25" hidden="1">
      <c r="A42" s="1597"/>
      <c r="B42" s="1597"/>
      <c r="C42" s="1597"/>
      <c r="D42" s="1597"/>
      <c r="E42" s="1597"/>
      <c r="F42" s="1597"/>
      <c r="G42" s="1597"/>
      <c r="H42" s="1597"/>
      <c r="I42" s="1597"/>
      <c r="J42" s="1597"/>
      <c r="K42" s="1597"/>
      <c r="L42" s="1591"/>
      <c r="M42" s="1589"/>
      <c r="N42" s="1589"/>
      <c r="O42" s="1589"/>
      <c r="P42" s="1472"/>
      <c r="Q42" s="1473"/>
      <c r="R42" s="1480">
        <v>1</v>
      </c>
      <c r="S42" s="1504" t="s">
        <v>168</v>
      </c>
      <c r="T42" s="1481" t="s">
        <v>99</v>
      </c>
      <c r="U42" s="1471" t="str">
        <f>OFFSET(U42,0,-1)</f>
        <v>2</v>
      </c>
      <c r="V42" s="1562">
        <f>OFFSET(V42,0,-1)+1</f>
        <v>3</v>
      </c>
      <c r="W42" s="1562"/>
      <c r="X42" s="1568">
        <f>OFFSET(X42,0,-1)+1</f>
        <v>1</v>
      </c>
      <c r="Y42" s="1568">
        <f>OFFSET(Y42,0,-1)+1</f>
        <v>2</v>
      </c>
      <c r="Z42" s="1562">
        <f>OFFSET(Z42,0,-1)+1</f>
        <v>3</v>
      </c>
      <c r="AA42" s="2404">
        <f>OFFSET(AA42,0,-1)+1</f>
        <v>4</v>
      </c>
      <c r="AB42" s="2404"/>
      <c r="AC42" s="1562">
        <f>OFFSET(AC42,0,-2)+1</f>
        <v>5</v>
      </c>
      <c r="AD42" s="1562">
        <f>OFFSET(AD42,0,-1)+1</f>
        <v>6</v>
      </c>
      <c r="AE42" s="1562"/>
      <c r="AF42" s="1568">
        <f>OFFSET(AF42,0,-1)+1</f>
        <v>1</v>
      </c>
      <c r="AG42" s="1568">
        <f>OFFSET(AG42,0,-1)+1</f>
        <v>2</v>
      </c>
      <c r="AH42" s="1562">
        <f>OFFSET(AH42,0,-1)+1</f>
        <v>3</v>
      </c>
      <c r="AI42" s="2404">
        <f>OFFSET(AI42,0,-1)+1</f>
        <v>4</v>
      </c>
      <c r="AJ42" s="2404"/>
      <c r="AK42" s="1562">
        <f>OFFSET(AK42,0,-2)+1</f>
        <v>5</v>
      </c>
      <c r="AL42" s="1471">
        <f>OFFSET(AL42,0,-1)</f>
        <v>5</v>
      </c>
      <c r="AM42" s="1562">
        <f>OFFSET(AM42,0,-1)+1</f>
        <v>6</v>
      </c>
      <c r="AN42" s="733"/>
      <c r="AO42" s="733"/>
      <c r="AP42" s="733"/>
      <c r="AQ42" s="733"/>
      <c r="AR42" s="733"/>
    </row>
    <row customHeight="1" ht="21">
      <c r="A43" s="1590" t="s">
        <v>242</v>
      </c>
      <c r="B43" s="1590"/>
      <c r="C43" s="1590"/>
      <c r="D43" s="1590"/>
      <c r="E43" s="2388">
        <v>1</v>
      </c>
      <c r="F43" s="1590"/>
      <c r="G43" s="1590"/>
      <c r="H43" s="1590"/>
      <c r="I43" s="1590"/>
      <c r="J43" s="1590"/>
      <c r="K43" s="1590"/>
      <c r="L43" s="1591"/>
      <c r="M43" s="1592"/>
      <c r="N43" s="1592"/>
      <c r="O43" s="1592"/>
      <c r="P43" s="583"/>
      <c r="Q43" s="582"/>
      <c r="R43" s="577"/>
      <c r="S43" s="1563">
        <f>INDEX(PT_DIFFERENTIATION_NUM_NTAR,MATCH(A43,PT_DIFFERENTIATION_NTAR_ID,0))</f>
        <v>0</v>
      </c>
      <c r="T43" s="520" t="s">
        <v>179</v>
      </c>
      <c r="U43" s="522"/>
      <c r="V43" s="2382"/>
      <c r="W43" s="2383"/>
      <c r="X43" s="2383"/>
      <c r="Y43" s="2383"/>
      <c r="Z43" s="2383"/>
      <c r="AA43" s="2383"/>
      <c r="AB43" s="2383"/>
      <c r="AC43" s="2384"/>
      <c r="AD43" s="2382" t="str">
        <f>INDEX(PT_DIFFERENTIATION_NTAR,MATCH(A43,PT_DIFFERENTIATION_NTAR_ID,0))</f>
        <v/>
      </c>
      <c r="AE43" s="2383"/>
      <c r="AF43" s="2383"/>
      <c r="AG43" s="2383"/>
      <c r="AH43" s="2383"/>
      <c r="AI43" s="2383"/>
      <c r="AJ43" s="2383"/>
      <c r="AK43" s="2383"/>
      <c r="AL43" s="2384"/>
      <c r="AM43" s="14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2"/>
      <c r="AP43" s="722" t="str">
        <f>IF(T43="","",T43)</f>
        <v>Наименование тарифа</v>
      </c>
      <c r="AQ43" s="722"/>
      <c r="AR43" s="722"/>
    </row>
    <row customHeight="1" ht="21">
      <c r="A44" s="1590" t="s">
        <v>242</v>
      </c>
      <c r="B44" s="1590" t="s">
        <v>243</v>
      </c>
      <c r="C44" s="1590"/>
      <c r="D44" s="1590"/>
      <c r="E44" s="2389"/>
      <c r="F44" s="2388">
        <v>1</v>
      </c>
      <c r="G44" s="1590"/>
      <c r="H44" s="1590"/>
      <c r="I44" s="1590"/>
      <c r="J44" s="1590"/>
      <c r="K44" s="1590"/>
      <c r="L44" s="1591"/>
      <c r="M44" s="1592"/>
      <c r="N44" s="1592"/>
      <c r="O44" s="1592"/>
      <c r="P44" s="1559"/>
      <c r="Q44" s="574"/>
      <c r="R44" s="575"/>
      <c r="S44" s="1563" t="str">
        <f>INDEX(PT_DIFFERENTIATION_NUM_TER,MATCH(B44,PT_DIFFERENTIATION_TER_ID,0))</f>
        <v>.</v>
      </c>
      <c r="T44" s="530" t="s">
        <v>503</v>
      </c>
      <c r="U44" s="522"/>
      <c r="V44" s="2382"/>
      <c r="W44" s="2383"/>
      <c r="X44" s="2383"/>
      <c r="Y44" s="2383"/>
      <c r="Z44" s="2383"/>
      <c r="AA44" s="2383"/>
      <c r="AB44" s="2383"/>
      <c r="AC44" s="2384"/>
      <c r="AD44" s="2382" t="str">
        <f>INDEX(PT_DIFFERENTIATION_TER,MATCH(B44,PT_DIFFERENTIATION_TER_ID,0))</f>
        <v/>
      </c>
      <c r="AE44" s="2383"/>
      <c r="AF44" s="2383"/>
      <c r="AG44" s="2383"/>
      <c r="AH44" s="2383"/>
      <c r="AI44" s="2383"/>
      <c r="AJ44" s="2383"/>
      <c r="AK44" s="2383"/>
      <c r="AL44" s="2384"/>
      <c r="AM44" s="1484" t="s">
        <v>504</v>
      </c>
      <c r="AO44" s="722"/>
      <c r="AP44" s="722" t="str">
        <f>IF(T44="","",T44)</f>
        <v>Территория действия тарифа</v>
      </c>
      <c r="AQ44" s="722"/>
      <c r="AR44" s="722"/>
    </row>
    <row customHeight="1" ht="23.25">
      <c r="A45" s="1590" t="s">
        <v>242</v>
      </c>
      <c r="B45" s="1590" t="s">
        <v>243</v>
      </c>
      <c r="C45" s="1590" t="s">
        <v>244</v>
      </c>
      <c r="D45" s="1590"/>
      <c r="E45" s="2389"/>
      <c r="F45" s="2389"/>
      <c r="G45" s="2388">
        <v>1</v>
      </c>
      <c r="H45" s="1590"/>
      <c r="I45" s="1590"/>
      <c r="J45" s="1590"/>
      <c r="K45" s="1590"/>
      <c r="L45" s="1591"/>
      <c r="M45" s="1592"/>
      <c r="N45" s="1592"/>
      <c r="O45" s="1592"/>
      <c r="P45" s="576"/>
      <c r="Q45" s="574"/>
      <c r="R45" s="575"/>
      <c r="S45" s="1563" t="str">
        <f>INDEX(PT_DIFFERENTIATION_NUM_CS,MATCH(C45,PT_DIFFERENTIATION_CS_ID,0))</f>
        <v>..</v>
      </c>
      <c r="T45" s="531" t="s">
        <v>505</v>
      </c>
      <c r="U45" s="522"/>
      <c r="V45" s="2382"/>
      <c r="W45" s="2383"/>
      <c r="X45" s="2383"/>
      <c r="Y45" s="2383"/>
      <c r="Z45" s="2383"/>
      <c r="AA45" s="2383"/>
      <c r="AB45" s="2383"/>
      <c r="AC45" s="2384"/>
      <c r="AD45" s="2382" t="str">
        <f>INDEX(PT_DIFFERENTIATION_CS,MATCH(C45,PT_DIFFERENTIATION_CS_ID,0))</f>
        <v/>
      </c>
      <c r="AE45" s="2383"/>
      <c r="AF45" s="2383"/>
      <c r="AG45" s="2383"/>
      <c r="AH45" s="2383"/>
      <c r="AI45" s="2383"/>
      <c r="AJ45" s="2383"/>
      <c r="AK45" s="2383"/>
      <c r="AL45" s="2384"/>
      <c r="AM45" s="1484" t="s">
        <v>506</v>
      </c>
      <c r="AO45" s="722"/>
      <c r="AP45" s="722" t="str">
        <f>IF(T45="","",T45)</f>
        <v>Наименование системы теплоснабжения </v>
      </c>
      <c r="AQ45" s="722"/>
      <c r="AR45" s="722"/>
    </row>
    <row customHeight="1" ht="21">
      <c r="A46" s="1590" t="s">
        <v>242</v>
      </c>
      <c r="B46" s="1590" t="s">
        <v>243</v>
      </c>
      <c r="C46" s="1590" t="s">
        <v>244</v>
      </c>
      <c r="D46" s="1590" t="s">
        <v>245</v>
      </c>
      <c r="E46" s="2389"/>
      <c r="F46" s="2389"/>
      <c r="G46" s="2389"/>
      <c r="H46" s="2388">
        <v>1</v>
      </c>
      <c r="I46" s="1590"/>
      <c r="J46" s="1590"/>
      <c r="K46" s="1590"/>
      <c r="L46" s="1591"/>
      <c r="M46" s="1592"/>
      <c r="N46" s="1592"/>
      <c r="O46" s="1592"/>
      <c r="P46" s="576"/>
      <c r="Q46" s="574"/>
      <c r="R46" s="575"/>
      <c r="S46" s="1563" t="str">
        <f>INDEX(PT_DIFFERENTIATION_NUM_IST_TE,MATCH(D46,PT_DIFFERENTIATION_IST_TE_ID,0))</f>
        <v>...</v>
      </c>
      <c r="T46" s="532" t="s">
        <v>507</v>
      </c>
      <c r="U46" s="522"/>
      <c r="V46" s="2382"/>
      <c r="W46" s="2383"/>
      <c r="X46" s="2383"/>
      <c r="Y46" s="2383"/>
      <c r="Z46" s="2383"/>
      <c r="AA46" s="2383"/>
      <c r="AB46" s="2383"/>
      <c r="AC46" s="2384"/>
      <c r="AD46" s="2382" t="str">
        <f>INDEX(PT_DIFFERENTIATION_IST_TE,MATCH(D46,PT_DIFFERENTIATION_IST_TE_ID,0))</f>
        <v/>
      </c>
      <c r="AE46" s="2383"/>
      <c r="AF46" s="2383"/>
      <c r="AG46" s="2383"/>
      <c r="AH46" s="2383"/>
      <c r="AI46" s="2383"/>
      <c r="AJ46" s="2383"/>
      <c r="AK46" s="2383"/>
      <c r="AL46" s="2384"/>
      <c r="AM46" s="1484" t="s">
        <v>508</v>
      </c>
      <c r="AO46" s="722"/>
      <c r="AP46" s="722" t="str">
        <f>IF(T46="","",T46)</f>
        <v>Источник тепловой энергии  </v>
      </c>
      <c r="AQ46" s="722"/>
      <c r="AR46" s="722"/>
    </row>
    <row customHeight="1" ht="47.25">
      <c r="A47" s="1590" t="s">
        <v>242</v>
      </c>
      <c r="B47" s="1590" t="s">
        <v>243</v>
      </c>
      <c r="C47" s="1590" t="s">
        <v>244</v>
      </c>
      <c r="D47" s="1590" t="s">
        <v>245</v>
      </c>
      <c r="E47" s="2389"/>
      <c r="F47" s="2389"/>
      <c r="G47" s="2389"/>
      <c r="H47" s="2389"/>
      <c r="I47" s="2390" t="str">
        <f>S46&amp;".1"</f>
        <v>....1</v>
      </c>
      <c r="J47" s="1590"/>
      <c r="K47" s="1590"/>
      <c r="L47" s="1591" t="s">
        <v>509</v>
      </c>
      <c r="P47" s="2392">
        <v>1</v>
      </c>
      <c r="Q47" s="1558"/>
      <c r="R47" s="578"/>
      <c r="S47" s="1563" t="str">
        <f>$I47</f>
        <v>....1</v>
      </c>
      <c r="T47" s="507" t="s">
        <v>510</v>
      </c>
      <c r="U47" s="522"/>
      <c r="V47" s="2376"/>
      <c r="W47" s="2377"/>
      <c r="X47" s="2377"/>
      <c r="Y47" s="2377"/>
      <c r="Z47" s="2377"/>
      <c r="AA47" s="2377"/>
      <c r="AB47" s="2377"/>
      <c r="AC47" s="2378"/>
      <c r="AD47" s="2376"/>
      <c r="AE47" s="2377"/>
      <c r="AF47" s="2377"/>
      <c r="AG47" s="2377"/>
      <c r="AH47" s="2377"/>
      <c r="AI47" s="2377"/>
      <c r="AJ47" s="2377"/>
      <c r="AK47" s="2377"/>
      <c r="AL47" s="2378"/>
      <c r="AM47" s="1484" t="s">
        <v>511</v>
      </c>
      <c r="AO47" s="722"/>
      <c r="AP47" s="722" t="str">
        <f>IF(T47="","",T47)</f>
        <v>Схема подключения теплопотребляющей установки к коллектору источника тепловой энергии</v>
      </c>
      <c r="AQ47" s="722"/>
      <c r="AR47" s="722"/>
    </row>
    <row customHeight="1" ht="21">
      <c r="A48" s="1590" t="s">
        <v>242</v>
      </c>
      <c r="B48" s="1590" t="s">
        <v>243</v>
      </c>
      <c r="C48" s="1590" t="s">
        <v>244</v>
      </c>
      <c r="D48" s="1590" t="s">
        <v>245</v>
      </c>
      <c r="E48" s="2389"/>
      <c r="F48" s="2389"/>
      <c r="G48" s="2389"/>
      <c r="H48" s="2389"/>
      <c r="I48" s="2391"/>
      <c r="J48" s="2390" t="str">
        <f>I47&amp;".1"</f>
        <v>....1.1</v>
      </c>
      <c r="K48" s="1590"/>
      <c r="L48" s="1591" t="s">
        <v>512</v>
      </c>
      <c r="P48" s="2392"/>
      <c r="Q48" s="2392">
        <v>1</v>
      </c>
      <c r="R48" s="579"/>
      <c r="S48" s="1563" t="str">
        <f>$J48</f>
        <v>....1.1</v>
      </c>
      <c r="T48" s="508" t="s">
        <v>513</v>
      </c>
      <c r="U48" s="522"/>
      <c r="V48" s="2376"/>
      <c r="W48" s="2377"/>
      <c r="X48" s="2377"/>
      <c r="Y48" s="2377"/>
      <c r="Z48" s="2377"/>
      <c r="AA48" s="2377"/>
      <c r="AB48" s="2377"/>
      <c r="AC48" s="2378"/>
      <c r="AD48" s="2376"/>
      <c r="AE48" s="2377"/>
      <c r="AF48" s="2377"/>
      <c r="AG48" s="2377"/>
      <c r="AH48" s="2377"/>
      <c r="AI48" s="2377"/>
      <c r="AJ48" s="2377"/>
      <c r="AK48" s="2377"/>
      <c r="AL48" s="2378"/>
      <c r="AM48" s="1484" t="s">
        <v>514</v>
      </c>
      <c r="AO48" s="722"/>
      <c r="AP48" s="722" t="str">
        <f>IF(T48="","",T48)</f>
        <v>Группа потребителей</v>
      </c>
      <c r="AQ48" s="722"/>
      <c r="AR48" s="722"/>
    </row>
    <row customHeight="1" ht="21">
      <c r="A49" s="1590" t="s">
        <v>242</v>
      </c>
      <c r="B49" s="1590" t="s">
        <v>243</v>
      </c>
      <c r="C49" s="1590" t="s">
        <v>244</v>
      </c>
      <c r="D49" s="1590" t="s">
        <v>245</v>
      </c>
      <c r="E49" s="2389"/>
      <c r="F49" s="2389"/>
      <c r="G49" s="2389"/>
      <c r="H49" s="2389"/>
      <c r="I49" s="2391"/>
      <c r="J49" s="2391"/>
      <c r="K49" s="2390" t="str">
        <f>J48&amp;".1"</f>
        <v>....1.1.1</v>
      </c>
      <c r="L49" s="1591" t="s">
        <v>515</v>
      </c>
      <c r="P49" s="2392"/>
      <c r="Q49" s="2392"/>
      <c r="R49" s="579">
        <v>1</v>
      </c>
      <c r="S49" s="1563" t="str">
        <f>$K49</f>
        <v>....1.1.1</v>
      </c>
      <c r="T49" s="1574"/>
      <c r="U49" s="522"/>
      <c r="V49" s="547"/>
      <c r="W49" s="973"/>
      <c r="X49" s="547"/>
      <c r="Y49" s="606"/>
      <c r="Z49" s="2393"/>
      <c r="AA49" s="2263" t="s">
        <v>63</v>
      </c>
      <c r="AB49" s="2393"/>
      <c r="AC49" s="2263" t="s">
        <v>63</v>
      </c>
      <c r="AD49" s="547"/>
      <c r="AE49" s="973"/>
      <c r="AF49" s="547"/>
      <c r="AG49" s="606"/>
      <c r="AH49" s="2393"/>
      <c r="AI49" s="2263" t="s">
        <v>63</v>
      </c>
      <c r="AJ49" s="2395"/>
      <c r="AK49" s="2263" t="s">
        <v>63</v>
      </c>
      <c r="AL49" s="1575"/>
      <c r="AM49" s="2418" t="s">
        <v>516</v>
      </c>
      <c r="AN49" s="733">
        <f>STRCHECKDATE(V50:AL50)</f>
      </c>
      <c r="AO49" s="722"/>
      <c r="AP49" s="722" t="str">
        <f>IF(T49="","",T49)</f>
        <v/>
      </c>
      <c r="AQ49" s="722"/>
      <c r="AR49" s="722"/>
    </row>
    <row customHeight="1" ht="0.75">
      <c r="A50" s="1590" t="s">
        <v>242</v>
      </c>
      <c r="B50" s="1590" t="s">
        <v>243</v>
      </c>
      <c r="C50" s="1590" t="s">
        <v>244</v>
      </c>
      <c r="D50" s="1590" t="s">
        <v>245</v>
      </c>
      <c r="E50" s="2389"/>
      <c r="F50" s="2389"/>
      <c r="G50" s="2389"/>
      <c r="H50" s="2389"/>
      <c r="I50" s="2391"/>
      <c r="J50" s="2391"/>
      <c r="K50" s="2390"/>
      <c r="L50" s="1591"/>
      <c r="P50" s="2392"/>
      <c r="Q50" s="2392"/>
      <c r="R50" s="579"/>
      <c r="S50" s="1569"/>
      <c r="T50" s="522"/>
      <c r="U50" s="522"/>
      <c r="V50" s="547"/>
      <c r="W50" s="547"/>
      <c r="X50" s="547"/>
      <c r="Y50" s="550" t="str">
        <f>Z49&amp;"-"&amp;AB49</f>
        <v>-</v>
      </c>
      <c r="Z50" s="2394"/>
      <c r="AA50" s="2263"/>
      <c r="AB50" s="2394"/>
      <c r="AC50" s="2263"/>
      <c r="AD50" s="547"/>
      <c r="AE50" s="547"/>
      <c r="AF50" s="547"/>
      <c r="AG50" s="550" t="str">
        <f>AH49&amp;"-"&amp;AJ49</f>
        <v>-</v>
      </c>
      <c r="AH50" s="2394"/>
      <c r="AI50" s="2263"/>
      <c r="AJ50" s="2396"/>
      <c r="AK50" s="2263"/>
      <c r="AL50" s="1576"/>
      <c r="AM50" s="2419"/>
      <c r="AO50" s="722"/>
      <c r="AP50" s="722" t="str">
        <f>IF(T50="","",T50)</f>
        <v/>
      </c>
      <c r="AQ50" s="722"/>
      <c r="AR50" s="722"/>
    </row>
    <row customHeight="1" ht="11.25">
      <c r="A51" s="1590" t="s">
        <v>242</v>
      </c>
      <c r="B51" s="1590" t="s">
        <v>243</v>
      </c>
      <c r="C51" s="1590" t="s">
        <v>244</v>
      </c>
      <c r="D51" s="1590" t="s">
        <v>245</v>
      </c>
      <c r="E51" s="2389"/>
      <c r="F51" s="2389"/>
      <c r="G51" s="2389"/>
      <c r="H51" s="2389"/>
      <c r="I51" s="2391"/>
      <c r="J51" s="2390"/>
      <c r="K51" s="1590"/>
      <c r="L51" s="1591"/>
      <c r="P51" s="2392"/>
      <c r="Q51" s="2392"/>
      <c r="R51" s="578"/>
      <c r="S51" s="1505"/>
      <c r="T51" s="510" t="s">
        <v>517</v>
      </c>
      <c r="U51" s="589"/>
      <c r="V51" s="589"/>
      <c r="W51" s="589"/>
      <c r="X51" s="589"/>
      <c r="Y51" s="589"/>
      <c r="Z51" s="589"/>
      <c r="AA51" s="589"/>
      <c r="AB51" s="589"/>
      <c r="AC51" s="589"/>
      <c r="AD51" s="589"/>
      <c r="AE51" s="589"/>
      <c r="AF51" s="589"/>
      <c r="AG51" s="589"/>
      <c r="AH51" s="589"/>
      <c r="AI51" s="589"/>
      <c r="AJ51" s="589"/>
      <c r="AK51" s="589"/>
      <c r="AL51" s="546"/>
      <c r="AM51" s="2420"/>
      <c r="AO51" s="722"/>
      <c r="AP51" s="722" t="str">
        <f>IF(T51="","",T51)</f>
        <v>Добавить вид теплоносителя (параметры теплоносителя)</v>
      </c>
      <c r="AQ51" s="722"/>
      <c r="AR51" s="722"/>
    </row>
    <row customHeight="1" ht="11.25">
      <c r="A52" s="1590" t="s">
        <v>242</v>
      </c>
      <c r="B52" s="1590" t="s">
        <v>243</v>
      </c>
      <c r="C52" s="1590" t="s">
        <v>244</v>
      </c>
      <c r="D52" s="1590" t="s">
        <v>245</v>
      </c>
      <c r="E52" s="2389"/>
      <c r="F52" s="2389"/>
      <c r="G52" s="2389"/>
      <c r="H52" s="2389"/>
      <c r="I52" s="2390"/>
      <c r="J52" s="1590"/>
      <c r="K52" s="1590"/>
      <c r="L52" s="1591"/>
      <c r="P52" s="2392"/>
      <c r="Q52" s="1558"/>
      <c r="R52" s="578"/>
      <c r="S52" s="1505"/>
      <c r="T52" s="509" t="s">
        <v>518</v>
      </c>
      <c r="U52" s="589"/>
      <c r="V52" s="589"/>
      <c r="W52" s="589"/>
      <c r="X52" s="589"/>
      <c r="Y52" s="589"/>
      <c r="Z52" s="589"/>
      <c r="AA52" s="589"/>
      <c r="AB52" s="589"/>
      <c r="AC52" s="588"/>
      <c r="AD52" s="589"/>
      <c r="AE52" s="589"/>
      <c r="AF52" s="589"/>
      <c r="AG52" s="589"/>
      <c r="AH52" s="589"/>
      <c r="AI52" s="589"/>
      <c r="AJ52" s="589"/>
      <c r="AK52" s="588"/>
      <c r="AL52" s="589"/>
      <c r="AM52" s="525"/>
      <c r="AO52" s="722"/>
      <c r="AP52" s="722" t="str">
        <f>IF(T52="","",T52)</f>
        <v>Добавить группу потребителей</v>
      </c>
      <c r="AQ52" s="722"/>
      <c r="AR52" s="722"/>
    </row>
    <row customHeight="1" ht="14.25">
      <c r="A53" s="1590" t="s">
        <v>242</v>
      </c>
      <c r="B53" s="1590" t="s">
        <v>243</v>
      </c>
      <c r="C53" s="1590" t="s">
        <v>244</v>
      </c>
      <c r="D53" s="1590" t="s">
        <v>245</v>
      </c>
      <c r="E53" s="2389"/>
      <c r="F53" s="2389"/>
      <c r="G53" s="2389"/>
      <c r="H53" s="2388"/>
      <c r="I53" s="1590"/>
      <c r="J53" s="1590"/>
      <c r="K53" s="1590"/>
      <c r="L53" s="1591"/>
      <c r="M53" s="1592"/>
      <c r="N53" s="1592"/>
      <c r="O53" s="759"/>
      <c r="P53" s="582"/>
      <c r="Q53" s="597"/>
      <c r="R53" s="577"/>
      <c r="S53" s="1505"/>
      <c r="T53" s="587" t="s">
        <v>519</v>
      </c>
      <c r="U53" s="589"/>
      <c r="V53" s="589"/>
      <c r="W53" s="589"/>
      <c r="X53" s="589"/>
      <c r="Y53" s="589"/>
      <c r="Z53" s="589"/>
      <c r="AA53" s="589"/>
      <c r="AB53" s="589"/>
      <c r="AC53" s="588"/>
      <c r="AD53" s="589"/>
      <c r="AE53" s="589"/>
      <c r="AF53" s="589"/>
      <c r="AG53" s="589"/>
      <c r="AH53" s="589"/>
      <c r="AI53" s="589"/>
      <c r="AJ53" s="589"/>
      <c r="AK53" s="588"/>
      <c r="AL53" s="589"/>
      <c r="AM53" s="525"/>
      <c r="AO53" s="722"/>
      <c r="AP53" s="722" t="str">
        <f>IF(T53="","",T53)</f>
        <v>Добавить схему подключения</v>
      </c>
      <c r="AQ53" s="722"/>
      <c r="AR53" s="722"/>
    </row>
    <row s="16531" customFormat="1" customHeight="1" ht="0.75">
      <c r="A54" s="1570" t="s">
        <v>242</v>
      </c>
      <c r="B54" s="1570" t="s">
        <v>243</v>
      </c>
      <c r="C54" s="1570" t="s">
        <v>244</v>
      </c>
      <c r="D54" s="1541"/>
      <c r="E54" s="2389"/>
      <c r="F54" s="2389"/>
      <c r="G54" s="2388"/>
      <c r="H54" s="1541"/>
      <c r="I54" s="1541"/>
      <c r="J54" s="1541"/>
      <c r="K54" s="1541"/>
      <c r="L54" s="1566"/>
      <c r="M54" s="1542"/>
      <c r="N54" s="1542"/>
      <c r="P54" s="1543"/>
      <c r="Q54" s="1544"/>
      <c r="R54" s="1543"/>
      <c r="S54" s="1549"/>
      <c r="T54" s="1552" t="s">
        <v>520</v>
      </c>
      <c r="U54" s="1551"/>
      <c r="V54" s="1551"/>
      <c r="W54" s="1551"/>
      <c r="X54" s="1551"/>
      <c r="Y54" s="1551"/>
      <c r="Z54" s="1551"/>
      <c r="AA54" s="1551"/>
      <c r="AB54" s="1551"/>
      <c r="AC54" s="1551"/>
      <c r="AD54" s="1551"/>
      <c r="AE54" s="1551"/>
      <c r="AF54" s="1551"/>
      <c r="AG54" s="1551"/>
      <c r="AH54" s="1551"/>
      <c r="AI54" s="1551"/>
      <c r="AJ54" s="1551"/>
      <c r="AK54" s="1551"/>
      <c r="AL54" s="1551"/>
      <c r="AM54" s="1551"/>
      <c r="AO54" s="1011"/>
      <c r="AP54" s="1011" t="str">
        <f>IF(T54="","",T54)</f>
        <v>Добавить источник для дифференциации</v>
      </c>
      <c r="AQ54" s="1011"/>
      <c r="AR54" s="1011"/>
    </row>
    <row s="16531" customFormat="1" customHeight="1" ht="0.75">
      <c r="A55" s="1570" t="s">
        <v>242</v>
      </c>
      <c r="B55" s="1570" t="s">
        <v>243</v>
      </c>
      <c r="C55" s="1541"/>
      <c r="D55" s="1541"/>
      <c r="E55" s="2389"/>
      <c r="F55" s="2388"/>
      <c r="G55" s="1541"/>
      <c r="H55" s="1541"/>
      <c r="I55" s="1541"/>
      <c r="J55" s="1541"/>
      <c r="K55" s="1541"/>
      <c r="L55" s="1566"/>
      <c r="M55" s="1548"/>
      <c r="N55" s="1548"/>
      <c r="P55" s="1543"/>
      <c r="Q55" s="1544"/>
      <c r="R55" s="1543"/>
      <c r="S55" s="1549"/>
      <c r="T55" s="1552" t="s">
        <v>305</v>
      </c>
      <c r="U55" s="1551"/>
      <c r="V55" s="1551"/>
      <c r="W55" s="1551"/>
      <c r="X55" s="1551"/>
      <c r="Y55" s="1551"/>
      <c r="Z55" s="1551"/>
      <c r="AA55" s="1551"/>
      <c r="AB55" s="1551"/>
      <c r="AC55" s="1551"/>
      <c r="AD55" s="1551"/>
      <c r="AE55" s="1551"/>
      <c r="AF55" s="1551"/>
      <c r="AG55" s="1551"/>
      <c r="AH55" s="1551"/>
      <c r="AI55" s="1551"/>
      <c r="AJ55" s="1551"/>
      <c r="AK55" s="1551"/>
      <c r="AL55" s="1551"/>
      <c r="AM55" s="1551"/>
      <c r="AO55" s="1011"/>
      <c r="AP55" s="1011" t="str">
        <f>IF(T55="","",T55)</f>
        <v>Добавить централизованную систему для дифференциации</v>
      </c>
      <c r="AQ55" s="1011"/>
      <c r="AR55" s="1011"/>
    </row>
    <row s="16622" customFormat="1" customHeight="1" ht="0.75">
      <c r="A56" s="1570" t="s">
        <v>242</v>
      </c>
      <c r="B56" s="1570"/>
      <c r="C56" s="1570"/>
      <c r="D56" s="1570"/>
      <c r="E56" s="2388"/>
      <c r="F56" s="1570"/>
      <c r="G56" s="1570"/>
      <c r="H56" s="1570"/>
      <c r="I56" s="1570"/>
      <c r="J56" s="1570"/>
      <c r="K56" s="1570"/>
      <c r="L56" s="1573"/>
      <c r="M56" s="1548"/>
      <c r="N56" s="1548"/>
      <c r="O56" s="740"/>
      <c r="P56" s="602"/>
      <c r="Q56" s="1571"/>
      <c r="R56" s="602"/>
      <c r="S56" s="1549"/>
      <c r="T56" s="1552" t="s">
        <v>358</v>
      </c>
      <c r="U56" s="1551"/>
      <c r="V56" s="1551"/>
      <c r="W56" s="1551"/>
      <c r="X56" s="1551"/>
      <c r="Y56" s="1551"/>
      <c r="Z56" s="1551"/>
      <c r="AA56" s="1551"/>
      <c r="AB56" s="1551"/>
      <c r="AC56" s="1551"/>
      <c r="AD56" s="1551"/>
      <c r="AE56" s="1551"/>
      <c r="AF56" s="1551"/>
      <c r="AG56" s="1551"/>
      <c r="AH56" s="1551"/>
      <c r="AI56" s="1551"/>
      <c r="AJ56" s="1551"/>
      <c r="AK56" s="1551"/>
      <c r="AL56" s="1551"/>
      <c r="AM56" s="1551"/>
      <c r="AO56" s="722"/>
      <c r="AP56" s="722" t="str">
        <f>IF(T56="","",T56)</f>
        <v>Добавить территорию для дифференциации</v>
      </c>
      <c r="AQ56" s="722"/>
      <c r="AR56" s="722"/>
    </row>
    <row s="16531" customFormat="1" customHeight="1" ht="0.75">
      <c r="A57" s="1541"/>
      <c r="B57" s="1541"/>
      <c r="C57" s="1541"/>
      <c r="D57" s="1541"/>
      <c r="E57" s="1570"/>
      <c r="F57" s="1541"/>
      <c r="G57" s="1541"/>
      <c r="H57" s="1541"/>
      <c r="I57" s="1541"/>
      <c r="J57" s="1541"/>
      <c r="K57" s="1541"/>
      <c r="L57" s="1566"/>
      <c r="M57" s="1548"/>
      <c r="N57" s="1548"/>
      <c r="P57" s="1543"/>
      <c r="Q57" s="1544"/>
      <c r="R57" s="1543"/>
      <c r="S57" s="1549"/>
      <c r="T57" s="1552" t="s">
        <v>359</v>
      </c>
      <c r="U57" s="1551"/>
      <c r="V57" s="1551"/>
      <c r="W57" s="1551"/>
      <c r="X57" s="1551"/>
      <c r="Y57" s="1551"/>
      <c r="Z57" s="1551"/>
      <c r="AA57" s="1551"/>
      <c r="AB57" s="1551"/>
      <c r="AC57" s="1551"/>
      <c r="AD57" s="1551"/>
      <c r="AE57" s="1551"/>
      <c r="AF57" s="1551"/>
      <c r="AG57" s="1551"/>
      <c r="AH57" s="1551"/>
      <c r="AI57" s="1551"/>
      <c r="AJ57" s="1551"/>
      <c r="AK57" s="1551"/>
      <c r="AL57" s="1551"/>
      <c r="AM57" s="1551"/>
      <c r="AO57" s="1011"/>
      <c r="AP57" s="1011" t="str">
        <f>IF(T57="","",T57)</f>
        <v>Добавить наименование тарифа</v>
      </c>
      <c r="AQ57" s="1011"/>
      <c r="AR57" s="1011"/>
    </row>
    <row customHeight="1" ht="11.25">
      <c r="M58" s="1384"/>
      <c r="N58" s="1384"/>
      <c r="O58" s="759"/>
      <c r="P58" s="1379"/>
      <c r="Q58" s="1379"/>
      <c r="R58" s="1379"/>
      <c r="S58" s="1379"/>
      <c r="AN58" s="1379"/>
      <c r="AO58" s="1379"/>
      <c r="AP58" s="1379"/>
      <c r="AQ58" s="1379"/>
      <c r="AR58" s="1379"/>
    </row>
    <row customHeight="1" ht="27">
      <c r="O59" s="759"/>
      <c r="S59" s="1479"/>
      <c r="T59" s="2387"/>
      <c r="U59" s="2387"/>
      <c r="V59" s="2387"/>
      <c r="W59" s="2387"/>
      <c r="X59" s="2387"/>
      <c r="Y59" s="2387"/>
      <c r="Z59" s="2387"/>
      <c r="AA59" s="2387"/>
      <c r="AB59" s="2387"/>
      <c r="AC59" s="2387"/>
      <c r="AD59" s="2387"/>
      <c r="AE59" s="2387"/>
      <c r="AF59" s="2387"/>
      <c r="AG59" s="2387"/>
      <c r="AH59" s="2387"/>
      <c r="AI59" s="2387"/>
      <c r="AJ59" s="2387"/>
      <c r="AK59" s="2387"/>
      <c r="AL59" s="2387"/>
      <c r="AM59" s="2387"/>
    </row>
    <row customHeight="1" ht="75">
      <c r="O60" s="759"/>
      <c r="T60" s="2387"/>
      <c r="U60" s="2387"/>
      <c r="V60" s="2387"/>
      <c r="W60" s="2387"/>
      <c r="X60" s="2387"/>
      <c r="Y60" s="2387"/>
      <c r="Z60" s="2387"/>
      <c r="AA60" s="2387"/>
      <c r="AB60" s="2387"/>
      <c r="AC60" s="2387"/>
      <c r="AD60" s="2387"/>
      <c r="AE60" s="2387"/>
      <c r="AF60" s="2387"/>
      <c r="AG60" s="2387"/>
      <c r="AH60" s="2387"/>
      <c r="AI60" s="2387"/>
      <c r="AJ60" s="2387"/>
      <c r="AK60" s="2387"/>
      <c r="AL60" s="2387"/>
      <c r="AM60" s="2387"/>
    </row>
    <row customHeight="1" ht="14.25">
      <c r="O61" s="759"/>
    </row>
    <row customHeight="1" ht="18">
      <c r="O62" s="759"/>
      <c r="S62" s="1479"/>
      <c r="T62" s="2387"/>
      <c r="U62" s="2387"/>
      <c r="V62" s="2387"/>
      <c r="W62" s="2387"/>
      <c r="X62" s="2387"/>
      <c r="Y62" s="2387"/>
      <c r="Z62" s="2387"/>
      <c r="AA62" s="2387"/>
      <c r="AB62" s="2387"/>
      <c r="AC62" s="2387"/>
      <c r="AD62" s="2387"/>
      <c r="AE62" s="2387"/>
      <c r="AF62" s="2387"/>
      <c r="AG62" s="2387"/>
      <c r="AH62" s="2387"/>
      <c r="AI62" s="2387"/>
      <c r="AJ62" s="2387"/>
      <c r="AK62" s="2387"/>
      <c r="AL62" s="2387"/>
      <c r="AM62" s="2387"/>
    </row>
    <row customHeight="1" ht="18">
      <c r="O63" s="759"/>
      <c r="T63" s="2387"/>
      <c r="U63" s="2387"/>
      <c r="V63" s="2387"/>
      <c r="W63" s="2387"/>
      <c r="X63" s="2387"/>
      <c r="Y63" s="2387"/>
      <c r="Z63" s="2387"/>
      <c r="AA63" s="2387"/>
      <c r="AB63" s="2387"/>
      <c r="AC63" s="2387"/>
      <c r="AD63" s="2387"/>
      <c r="AE63" s="2387"/>
      <c r="AF63" s="2387"/>
      <c r="AG63" s="2387"/>
      <c r="AH63" s="2387"/>
      <c r="AI63" s="2387"/>
      <c r="AJ63" s="2387"/>
      <c r="AK63" s="2387"/>
      <c r="AL63" s="2387"/>
      <c r="AM63" s="2387"/>
    </row>
    <row customHeight="1" ht="38.25">
      <c r="O64" s="759"/>
      <c r="S64" s="1479"/>
      <c r="T64" s="2387"/>
      <c r="U64" s="2387"/>
      <c r="V64" s="2387"/>
      <c r="W64" s="2387"/>
      <c r="X64" s="2387"/>
      <c r="Y64" s="2387"/>
      <c r="Z64" s="2387"/>
      <c r="AA64" s="2387"/>
      <c r="AB64" s="2387"/>
      <c r="AC64" s="2387"/>
      <c r="AD64" s="2387"/>
      <c r="AE64" s="2387"/>
      <c r="AF64" s="2387"/>
      <c r="AG64" s="2387"/>
      <c r="AH64" s="2387"/>
      <c r="AI64" s="2387"/>
      <c r="AJ64" s="2387"/>
      <c r="AK64" s="2387"/>
      <c r="AL64" s="2387"/>
      <c r="AM64" s="2387"/>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B12A6E-A64F-F231-A132-7CA9A8D00844}"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6550" width="10.57421875" hidden="1"/>
    <col min="2" max="2" style="16550" width="11.00390625" hidden="1" customWidth="1"/>
    <col min="3" max="3" style="16550" width="10.57421875" hidden="1"/>
    <col min="4" max="4" style="16550" width="11.8515625" hidden="1" customWidth="1"/>
    <col min="5" max="5" style="16550" width="10.00390625" hidden="1" customWidth="1"/>
    <col min="6" max="6" style="16550" width="8.7109375" hidden="1" customWidth="1"/>
    <col min="7" max="7" style="16550" width="7.57421875" hidden="1" customWidth="1"/>
    <col min="8" max="8" style="16550" width="11.421875" hidden="1" customWidth="1"/>
    <col min="9" max="9" style="16550" width="12.00390625" hidden="1" customWidth="1"/>
    <col min="10" max="10" style="16550" width="9.8515625" hidden="1" customWidth="1"/>
    <col min="11" max="11" style="16550" width="11.421875" hidden="1" customWidth="1"/>
    <col min="12" max="12" style="16630" width="19.140625" hidden="1" customWidth="1"/>
    <col min="13" max="14" style="16631" width="12.28125" hidden="1" customWidth="1"/>
    <col min="15" max="15" style="16631" width="23.421875" hidden="1" customWidth="1"/>
    <col min="16" max="16" style="16643" width="3.7109375" hidden="1" customWidth="1"/>
    <col min="17" max="18" style="16633" width="3.7109375" customWidth="1"/>
    <col min="19" max="19" style="16634" width="12.7109375" customWidth="1"/>
    <col min="20" max="20" style="16635" width="32.00390625" customWidth="1"/>
    <col min="21" max="21" style="16635" width="0.140625" customWidth="1"/>
    <col min="22" max="22" style="16635" width="24.7109375" hidden="1" customWidth="1"/>
    <col min="23" max="23" style="16635" width="0.140625" hidden="1" customWidth="1"/>
    <col min="24" max="25" style="16635" width="24.7109375" hidden="1" customWidth="1"/>
    <col min="26" max="26" style="16635" width="11.7109375" hidden="1" customWidth="1"/>
    <col min="27" max="27" style="16635" width="3.7109375" hidden="1" customWidth="1"/>
    <col min="28" max="28" style="16635" width="11.7109375" hidden="1" customWidth="1"/>
    <col min="29" max="29" style="16635" width="8.57421875" hidden="1" customWidth="1"/>
    <col min="30" max="30" style="16635" width="24.7109375" customWidth="1"/>
    <col min="31" max="31" style="16635" width="0.140625" customWidth="1"/>
    <col min="32" max="33" style="16635" width="24.7109375" customWidth="1"/>
    <col min="34" max="34" style="16635" width="11.7109375" customWidth="1"/>
    <col min="35" max="35" style="16635" width="3.7109375" customWidth="1"/>
    <col min="36" max="36" style="16635" width="11.7109375" customWidth="1"/>
    <col min="37" max="37" style="16635" width="8.57421875" hidden="1" customWidth="1"/>
    <col min="38" max="38" style="16635" width="4.7109375" customWidth="1"/>
    <col min="39" max="39" style="16635" width="115.7109375" customWidth="1"/>
    <col min="40" max="41" style="16622" width="10.57421875"/>
    <col min="42" max="42" style="16622" width="11.140625" customWidth="1"/>
    <col min="43" max="44" style="16622" width="10.57421875"/>
  </cols>
  <sheetData>
    <row customHeight="1" ht="14.25" hidden="1">
      <c r="Y1" s="549"/>
      <c r="Z1" s="549"/>
      <c r="AG1" s="549"/>
      <c r="AH1" s="549"/>
    </row>
    <row customHeight="1" ht="21" hidden="1">
      <c r="A2" s="1590"/>
      <c r="B2" s="1590"/>
      <c r="C2" s="1590"/>
      <c r="D2" s="1590"/>
      <c r="E2" s="2388">
        <v>1</v>
      </c>
      <c r="F2" s="1590"/>
      <c r="G2" s="1590"/>
      <c r="H2" s="1590"/>
      <c r="I2" s="1590"/>
      <c r="J2" s="1590"/>
      <c r="K2" s="1590"/>
      <c r="L2" s="1591"/>
      <c r="M2" s="1592"/>
      <c r="N2" s="1592"/>
      <c r="O2" s="1592"/>
      <c r="P2" s="583"/>
      <c r="Q2" s="582"/>
      <c r="R2" s="577"/>
      <c r="S2" s="1563">
        <f>INDEX(PT_DIFFERENTIATION_NUM_NTAR,MATCH(A2,PT_DIFFERENTIATION_NTAR_ID,0))</f>
      </c>
      <c r="T2" s="520" t="s">
        <v>179</v>
      </c>
      <c r="U2" s="522"/>
      <c r="V2" s="2382"/>
      <c r="W2" s="2383"/>
      <c r="X2" s="2383"/>
      <c r="Y2" s="2383"/>
      <c r="Z2" s="2383"/>
      <c r="AA2" s="2383"/>
      <c r="AB2" s="2383"/>
      <c r="AC2" s="2384"/>
      <c r="AD2" s="2382">
        <f>INDEX(PT_DIFFERENTIATION_NTAR,MATCH(A2,PT_DIFFERENTIATION_NTAR_ID,0))</f>
      </c>
      <c r="AE2" s="2383"/>
      <c r="AF2" s="2383"/>
      <c r="AG2" s="2383"/>
      <c r="AH2" s="2383"/>
      <c r="AI2" s="2383"/>
      <c r="AJ2" s="2383"/>
      <c r="AK2" s="2383"/>
      <c r="AL2" s="2384"/>
      <c r="AM2" s="1484" t="s">
        <v>502</v>
      </c>
      <c r="AO2" s="722"/>
      <c r="AP2" s="722" t="str">
        <f>IF(T2="","",T2)</f>
        <v>Наименование тарифа</v>
      </c>
      <c r="AQ2" s="722"/>
      <c r="AR2" s="722"/>
    </row>
    <row customHeight="1" ht="21" hidden="1">
      <c r="A3" s="1590"/>
      <c r="B3" s="1590"/>
      <c r="C3" s="1590"/>
      <c r="D3" s="1590"/>
      <c r="E3" s="2389"/>
      <c r="F3" s="2388">
        <v>1</v>
      </c>
      <c r="G3" s="1590"/>
      <c r="H3" s="1590"/>
      <c r="I3" s="1590"/>
      <c r="J3" s="1590"/>
      <c r="K3" s="1590"/>
      <c r="L3" s="1591"/>
      <c r="M3" s="1592"/>
      <c r="N3" s="1592"/>
      <c r="O3" s="1592"/>
      <c r="P3" s="1559"/>
      <c r="Q3" s="574"/>
      <c r="R3" s="575"/>
      <c r="S3" s="1563">
        <f>INDEX(PT_DIFFERENTIATION_NUM_TER,MATCH(B3,PT_DIFFERENTIATION_TER_ID,0))</f>
      </c>
      <c r="T3" s="530" t="s">
        <v>503</v>
      </c>
      <c r="U3" s="522"/>
      <c r="V3" s="2382"/>
      <c r="W3" s="2383"/>
      <c r="X3" s="2383"/>
      <c r="Y3" s="2383"/>
      <c r="Z3" s="2383"/>
      <c r="AA3" s="2383"/>
      <c r="AB3" s="2383"/>
      <c r="AC3" s="2384"/>
      <c r="AD3" s="2382">
        <f>INDEX(PT_DIFFERENTIATION_TER,MATCH(B3,PT_DIFFERENTIATION_TER_ID,0))</f>
      </c>
      <c r="AE3" s="2383"/>
      <c r="AF3" s="2383"/>
      <c r="AG3" s="2383"/>
      <c r="AH3" s="2383"/>
      <c r="AI3" s="2383"/>
      <c r="AJ3" s="2383"/>
      <c r="AK3" s="2383"/>
      <c r="AL3" s="2384"/>
      <c r="AM3" s="1484" t="s">
        <v>504</v>
      </c>
      <c r="AO3" s="722"/>
      <c r="AP3" s="722" t="str">
        <f>IF(T3="","",T3)</f>
        <v>Территория действия тарифа</v>
      </c>
      <c r="AQ3" s="722"/>
      <c r="AR3" s="722"/>
    </row>
    <row customHeight="1" ht="23.25" hidden="1">
      <c r="A4" s="1590"/>
      <c r="B4" s="1590"/>
      <c r="C4" s="1590"/>
      <c r="D4" s="1590"/>
      <c r="E4" s="2389"/>
      <c r="F4" s="2389"/>
      <c r="G4" s="2388">
        <v>1</v>
      </c>
      <c r="H4" s="1590"/>
      <c r="I4" s="1590"/>
      <c r="J4" s="1590"/>
      <c r="K4" s="1590"/>
      <c r="L4" s="1591"/>
      <c r="M4" s="1592"/>
      <c r="N4" s="1592"/>
      <c r="O4" s="1592"/>
      <c r="P4" s="576"/>
      <c r="Q4" s="574"/>
      <c r="R4" s="575"/>
      <c r="S4" s="1563">
        <f>INDEX(PT_DIFFERENTIATION_NUM_CS,MATCH(C4,PT_DIFFERENTIATION_CS_ID,0))</f>
      </c>
      <c r="T4" s="531" t="s">
        <v>505</v>
      </c>
      <c r="U4" s="522"/>
      <c r="V4" s="2382"/>
      <c r="W4" s="2383"/>
      <c r="X4" s="2383"/>
      <c r="Y4" s="2383"/>
      <c r="Z4" s="2383"/>
      <c r="AA4" s="2383"/>
      <c r="AB4" s="2383"/>
      <c r="AC4" s="2384"/>
      <c r="AD4" s="2382">
        <f>INDEX(PT_DIFFERENTIATION_CS,MATCH(C4,PT_DIFFERENTIATION_CS_ID,0))</f>
      </c>
      <c r="AE4" s="2383"/>
      <c r="AF4" s="2383"/>
      <c r="AG4" s="2383"/>
      <c r="AH4" s="2383"/>
      <c r="AI4" s="2383"/>
      <c r="AJ4" s="2383"/>
      <c r="AK4" s="2383"/>
      <c r="AL4" s="2384"/>
      <c r="AM4" s="1484" t="s">
        <v>506</v>
      </c>
      <c r="AO4" s="722"/>
      <c r="AP4" s="722" t="str">
        <f>IF(T4="","",T4)</f>
        <v>Наименование системы теплоснабжения </v>
      </c>
      <c r="AQ4" s="722"/>
      <c r="AR4" s="722"/>
    </row>
    <row customHeight="1" ht="21" hidden="1">
      <c r="A5" s="1590"/>
      <c r="B5" s="1590"/>
      <c r="C5" s="1590"/>
      <c r="D5" s="1590"/>
      <c r="E5" s="2389"/>
      <c r="F5" s="2389"/>
      <c r="G5" s="2389"/>
      <c r="H5" s="2388">
        <v>1</v>
      </c>
      <c r="I5" s="1590"/>
      <c r="J5" s="1590"/>
      <c r="K5" s="1590"/>
      <c r="L5" s="1591"/>
      <c r="M5" s="1592"/>
      <c r="N5" s="1592"/>
      <c r="O5" s="1592"/>
      <c r="P5" s="576"/>
      <c r="Q5" s="574"/>
      <c r="R5" s="575"/>
      <c r="S5" s="1563">
        <f>INDEX(PT_DIFFERENTIATION_NUM_IST_TE,MATCH(D5,PT_DIFFERENTIATION_IST_TE_ID,0))</f>
      </c>
      <c r="T5" s="532" t="s">
        <v>507</v>
      </c>
      <c r="U5" s="522"/>
      <c r="V5" s="2382"/>
      <c r="W5" s="2383"/>
      <c r="X5" s="2383"/>
      <c r="Y5" s="2383"/>
      <c r="Z5" s="2383"/>
      <c r="AA5" s="2383"/>
      <c r="AB5" s="2383"/>
      <c r="AC5" s="2384"/>
      <c r="AD5" s="2382">
        <f>INDEX(PT_DIFFERENTIATION_IST_TE,MATCH(D5,PT_DIFFERENTIATION_IST_TE_ID,0))</f>
      </c>
      <c r="AE5" s="2383"/>
      <c r="AF5" s="2383"/>
      <c r="AG5" s="2383"/>
      <c r="AH5" s="2383"/>
      <c r="AI5" s="2383"/>
      <c r="AJ5" s="2383"/>
      <c r="AK5" s="2383"/>
      <c r="AL5" s="2384"/>
      <c r="AM5" s="1484" t="s">
        <v>508</v>
      </c>
      <c r="AO5" s="722"/>
      <c r="AP5" s="722" t="str">
        <f>IF(T5="","",T5)</f>
        <v>Источник тепловой энергии  </v>
      </c>
      <c r="AQ5" s="722"/>
      <c r="AR5" s="722"/>
    </row>
    <row customHeight="1" ht="14.25" hidden="1">
      <c r="A6" s="1590"/>
      <c r="B6" s="1590"/>
      <c r="C6" s="1590"/>
      <c r="D6" s="1590"/>
      <c r="E6" s="2389"/>
      <c r="F6" s="2389"/>
      <c r="G6" s="2389"/>
      <c r="H6" s="2389"/>
      <c r="I6" s="2390">
        <f>S5&amp;".1"</f>
      </c>
      <c r="J6" s="1590"/>
      <c r="K6" s="1590"/>
      <c r="L6" s="1591" t="s">
        <v>509</v>
      </c>
      <c r="M6" s="759"/>
      <c r="P6" s="2392">
        <v>1</v>
      </c>
      <c r="Q6" s="1558"/>
      <c r="R6" s="578"/>
      <c r="S6" s="1265"/>
      <c r="T6" s="1610"/>
      <c r="U6" s="1611"/>
      <c r="V6" s="2430"/>
      <c r="W6" s="2431"/>
      <c r="X6" s="2431"/>
      <c r="Y6" s="2431"/>
      <c r="Z6" s="2431"/>
      <c r="AA6" s="2431"/>
      <c r="AB6" s="2431"/>
      <c r="AC6" s="2432"/>
      <c r="AD6" s="2430"/>
      <c r="AE6" s="2431"/>
      <c r="AF6" s="2431"/>
      <c r="AG6" s="2431"/>
      <c r="AH6" s="2431"/>
      <c r="AI6" s="2431"/>
      <c r="AJ6" s="2431"/>
      <c r="AK6" s="2431"/>
      <c r="AL6" s="2432"/>
      <c r="AM6" s="1612"/>
      <c r="AO6" s="722"/>
      <c r="AP6" s="722" t="str">
        <f>IF(T6="","",T6)</f>
        <v/>
      </c>
      <c r="AQ6" s="722"/>
      <c r="AR6" s="722"/>
    </row>
    <row customHeight="1" ht="21" hidden="1">
      <c r="A7" s="1590"/>
      <c r="B7" s="1590"/>
      <c r="C7" s="1590"/>
      <c r="D7" s="1590"/>
      <c r="E7" s="2389"/>
      <c r="F7" s="2389"/>
      <c r="G7" s="2389"/>
      <c r="H7" s="2389"/>
      <c r="I7" s="2391"/>
      <c r="J7" s="2390">
        <f>I6&amp;".1"</f>
      </c>
      <c r="K7" s="1590"/>
      <c r="L7" s="1591" t="s">
        <v>512</v>
      </c>
      <c r="M7" s="759"/>
      <c r="N7" s="1593"/>
      <c r="P7" s="2392"/>
      <c r="Q7" s="2392">
        <v>1</v>
      </c>
      <c r="R7" s="579"/>
      <c r="S7" s="1563">
        <f>$J7</f>
      </c>
      <c r="T7" s="508" t="s">
        <v>513</v>
      </c>
      <c r="U7" s="522"/>
      <c r="V7" s="2376"/>
      <c r="W7" s="2377"/>
      <c r="X7" s="2377"/>
      <c r="Y7" s="2377"/>
      <c r="Z7" s="2377"/>
      <c r="AA7" s="2377"/>
      <c r="AB7" s="2377"/>
      <c r="AC7" s="2378"/>
      <c r="AD7" s="2376"/>
      <c r="AE7" s="2377"/>
      <c r="AF7" s="2377"/>
      <c r="AG7" s="2377"/>
      <c r="AH7" s="2377"/>
      <c r="AI7" s="2377"/>
      <c r="AJ7" s="2377"/>
      <c r="AK7" s="2377"/>
      <c r="AL7" s="2378"/>
      <c r="AM7" s="1484" t="s">
        <v>514</v>
      </c>
      <c r="AO7" s="722"/>
      <c r="AP7" s="722" t="str">
        <f>IF(T7="","",T7)</f>
        <v>Группа потребителей</v>
      </c>
      <c r="AQ7" s="722"/>
      <c r="AR7" s="722"/>
    </row>
    <row customHeight="1" ht="21" hidden="1">
      <c r="A8" s="1590"/>
      <c r="B8" s="1590"/>
      <c r="C8" s="1590"/>
      <c r="D8" s="1590"/>
      <c r="E8" s="2389"/>
      <c r="F8" s="2389"/>
      <c r="G8" s="2389"/>
      <c r="H8" s="2389"/>
      <c r="I8" s="2391"/>
      <c r="J8" s="2391"/>
      <c r="K8" s="2390">
        <f>J7&amp;".1"</f>
      </c>
      <c r="L8" s="1591" t="s">
        <v>515</v>
      </c>
      <c r="M8" s="759"/>
      <c r="N8" s="1593"/>
      <c r="O8" s="1593"/>
      <c r="P8" s="2392"/>
      <c r="Q8" s="2392"/>
      <c r="R8" s="579">
        <v>1</v>
      </c>
      <c r="S8" s="1563">
        <f>$K8</f>
      </c>
      <c r="T8" s="1574"/>
      <c r="U8" s="522"/>
      <c r="V8" s="973"/>
      <c r="W8" s="547"/>
      <c r="X8" s="973"/>
      <c r="Y8" s="1483"/>
      <c r="Z8" s="2393"/>
      <c r="AA8" s="2263" t="s">
        <v>63</v>
      </c>
      <c r="AB8" s="2393"/>
      <c r="AC8" s="2263" t="s">
        <v>63</v>
      </c>
      <c r="AD8" s="973"/>
      <c r="AE8" s="547"/>
      <c r="AF8" s="973"/>
      <c r="AG8" s="1483"/>
      <c r="AH8" s="2393"/>
      <c r="AI8" s="2263" t="s">
        <v>63</v>
      </c>
      <c r="AJ8" s="2393"/>
      <c r="AK8" s="2263" t="s">
        <v>63</v>
      </c>
      <c r="AL8" s="547"/>
      <c r="AM8" s="2418" t="s">
        <v>516</v>
      </c>
      <c r="AN8" s="733">
        <f>STRCHECKDATE(V9:AL9)</f>
      </c>
      <c r="AO8" s="722"/>
      <c r="AP8" s="722" t="str">
        <f>IF(T8="","",T8)</f>
        <v/>
      </c>
      <c r="AQ8" s="722"/>
      <c r="AR8" s="722"/>
    </row>
    <row customHeight="1" ht="0.75" hidden="1">
      <c r="A9" s="1590"/>
      <c r="B9" s="1590"/>
      <c r="C9" s="1590"/>
      <c r="D9" s="1590"/>
      <c r="E9" s="2389"/>
      <c r="F9" s="2389"/>
      <c r="G9" s="2389"/>
      <c r="H9" s="2389"/>
      <c r="I9" s="2391"/>
      <c r="J9" s="2391"/>
      <c r="K9" s="2390"/>
      <c r="L9" s="1591"/>
      <c r="M9" s="759"/>
      <c r="N9" s="1593"/>
      <c r="O9" s="1593"/>
      <c r="P9" s="2392"/>
      <c r="Q9" s="2392"/>
      <c r="R9" s="579"/>
      <c r="S9" s="1569"/>
      <c r="T9" s="522"/>
      <c r="U9" s="522"/>
      <c r="V9" s="547"/>
      <c r="W9" s="547"/>
      <c r="X9" s="547"/>
      <c r="Y9" s="550" t="str">
        <f>Z8&amp;"-"&amp;AB8</f>
        <v>-</v>
      </c>
      <c r="Z9" s="2394"/>
      <c r="AA9" s="2263"/>
      <c r="AB9" s="2394"/>
      <c r="AC9" s="2263"/>
      <c r="AD9" s="547"/>
      <c r="AE9" s="547"/>
      <c r="AF9" s="547"/>
      <c r="AG9" s="550" t="str">
        <f>AH8&amp;"-"&amp;AJ8</f>
        <v>-</v>
      </c>
      <c r="AH9" s="2394"/>
      <c r="AI9" s="2263"/>
      <c r="AJ9" s="2394"/>
      <c r="AK9" s="2263"/>
      <c r="AL9" s="547"/>
      <c r="AM9" s="2419"/>
      <c r="AO9" s="722"/>
      <c r="AP9" s="722" t="str">
        <f>IF(T9="","",T9)</f>
        <v/>
      </c>
      <c r="AQ9" s="722"/>
      <c r="AR9" s="722"/>
    </row>
    <row customHeight="1" ht="15" hidden="1">
      <c r="A10" s="1590"/>
      <c r="B10" s="1590"/>
      <c r="C10" s="1590"/>
      <c r="D10" s="1590"/>
      <c r="E10" s="2389"/>
      <c r="F10" s="2389"/>
      <c r="G10" s="2389"/>
      <c r="H10" s="2389"/>
      <c r="I10" s="2391"/>
      <c r="J10" s="2390"/>
      <c r="K10" s="1590"/>
      <c r="L10" s="1591"/>
      <c r="M10" s="759"/>
      <c r="N10" s="1593"/>
      <c r="P10" s="2392"/>
      <c r="Q10" s="2392"/>
      <c r="R10" s="578"/>
      <c r="S10" s="1505"/>
      <c r="T10" s="509" t="s">
        <v>517</v>
      </c>
      <c r="U10" s="589"/>
      <c r="V10" s="589"/>
      <c r="W10" s="589"/>
      <c r="X10" s="589"/>
      <c r="Y10" s="589"/>
      <c r="Z10" s="589"/>
      <c r="AA10" s="589"/>
      <c r="AB10" s="589"/>
      <c r="AC10" s="589"/>
      <c r="AD10" s="589"/>
      <c r="AE10" s="589"/>
      <c r="AF10" s="589"/>
      <c r="AG10" s="589"/>
      <c r="AH10" s="589"/>
      <c r="AI10" s="589"/>
      <c r="AJ10" s="589"/>
      <c r="AK10" s="589"/>
      <c r="AL10" s="546"/>
      <c r="AM10" s="2420"/>
      <c r="AO10" s="722"/>
      <c r="AP10" s="722" t="str">
        <f>IF(T10="","",T10)</f>
        <v>Добавить вид теплоносителя (параметры теплоносителя)</v>
      </c>
      <c r="AQ10" s="722"/>
      <c r="AR10" s="722"/>
    </row>
    <row customHeight="1" ht="15" hidden="1">
      <c r="A11" s="1590"/>
      <c r="B11" s="1590"/>
      <c r="C11" s="1590"/>
      <c r="D11" s="1590"/>
      <c r="E11" s="2389"/>
      <c r="F11" s="2389"/>
      <c r="G11" s="2389"/>
      <c r="H11" s="2389"/>
      <c r="I11" s="2390"/>
      <c r="J11" s="1590"/>
      <c r="K11" s="1590"/>
      <c r="L11" s="1591"/>
      <c r="M11" s="759"/>
      <c r="P11" s="2392"/>
      <c r="Q11" s="1558"/>
      <c r="R11" s="578"/>
      <c r="S11" s="1505"/>
      <c r="T11" s="587" t="s">
        <v>518</v>
      </c>
      <c r="U11" s="589"/>
      <c r="V11" s="589"/>
      <c r="W11" s="589"/>
      <c r="X11" s="589"/>
      <c r="Y11" s="589"/>
      <c r="Z11" s="589"/>
      <c r="AA11" s="589"/>
      <c r="AB11" s="589"/>
      <c r="AC11" s="588"/>
      <c r="AD11" s="589"/>
      <c r="AE11" s="589"/>
      <c r="AF11" s="589"/>
      <c r="AG11" s="589"/>
      <c r="AH11" s="589"/>
      <c r="AI11" s="589"/>
      <c r="AJ11" s="589"/>
      <c r="AK11" s="588"/>
      <c r="AL11" s="589"/>
      <c r="AM11" s="525"/>
      <c r="AO11" s="722"/>
      <c r="AP11" s="722" t="str">
        <f>IF(T11="","",T11)</f>
        <v>Добавить группу потребителей</v>
      </c>
      <c r="AQ11" s="722"/>
      <c r="AR11" s="722"/>
    </row>
    <row customHeight="1" ht="14.25" hidden="1">
      <c r="A12" s="1590"/>
      <c r="B12" s="1590"/>
      <c r="C12" s="1590"/>
      <c r="D12" s="1590"/>
      <c r="E12" s="2389"/>
      <c r="F12" s="2389"/>
      <c r="G12" s="2389"/>
      <c r="H12" s="2388"/>
      <c r="I12" s="1590"/>
      <c r="J12" s="1590"/>
      <c r="K12" s="1590"/>
      <c r="L12" s="1591"/>
      <c r="M12" s="1592"/>
      <c r="N12" s="1592"/>
      <c r="O12" s="759"/>
      <c r="P12" s="582"/>
      <c r="Q12" s="597"/>
      <c r="R12" s="577"/>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2"/>
      <c r="AP12" s="722" t="str">
        <f>IF(T12="","",T12)</f>
        <v/>
      </c>
      <c r="AQ12" s="722"/>
      <c r="AR12" s="722"/>
    </row>
    <row s="16531" customFormat="1" customHeight="1" ht="0.75" hidden="1">
      <c r="A13" s="1541"/>
      <c r="B13" s="1541"/>
      <c r="C13" s="1541"/>
      <c r="D13" s="1541"/>
      <c r="E13" s="2389"/>
      <c r="F13" s="2389"/>
      <c r="G13" s="2388"/>
      <c r="H13" s="1541"/>
      <c r="I13" s="1541"/>
      <c r="J13" s="1541"/>
      <c r="K13" s="1541"/>
      <c r="L13" s="1566"/>
      <c r="M13" s="1542"/>
      <c r="N13" s="1542"/>
      <c r="P13" s="1543"/>
      <c r="Q13" s="1544"/>
      <c r="R13" s="1543"/>
      <c r="S13" s="1545"/>
      <c r="T13" s="1546" t="s">
        <v>520</v>
      </c>
      <c r="U13" s="1547"/>
      <c r="V13" s="1547"/>
      <c r="W13" s="1547"/>
      <c r="X13" s="1547"/>
      <c r="Y13" s="1547"/>
      <c r="Z13" s="1547"/>
      <c r="AA13" s="1547"/>
      <c r="AB13" s="1547"/>
      <c r="AC13" s="1547"/>
      <c r="AD13" s="1547"/>
      <c r="AE13" s="1547"/>
      <c r="AF13" s="1547"/>
      <c r="AG13" s="1547"/>
      <c r="AH13" s="1547"/>
      <c r="AI13" s="1547"/>
      <c r="AJ13" s="1547"/>
      <c r="AK13" s="1547"/>
      <c r="AL13" s="1547"/>
      <c r="AM13" s="1547"/>
      <c r="AO13" s="1011"/>
      <c r="AP13" s="1011" t="str">
        <f>IF(T13="","",T13)</f>
        <v>Добавить источник для дифференциации</v>
      </c>
      <c r="AQ13" s="1011"/>
      <c r="AR13" s="1011"/>
    </row>
    <row s="16531" customFormat="1" customHeight="1" ht="0.75" hidden="1">
      <c r="A14" s="1541"/>
      <c r="B14" s="1541"/>
      <c r="C14" s="1541"/>
      <c r="D14" s="1541"/>
      <c r="E14" s="2389"/>
      <c r="F14" s="2388"/>
      <c r="G14" s="1541"/>
      <c r="H14" s="1541"/>
      <c r="I14" s="1541"/>
      <c r="J14" s="1541"/>
      <c r="K14" s="1541"/>
      <c r="L14" s="1566"/>
      <c r="M14" s="1548"/>
      <c r="N14" s="1548"/>
      <c r="P14" s="1543"/>
      <c r="Q14" s="1544"/>
      <c r="R14" s="1543"/>
      <c r="S14" s="1549"/>
      <c r="T14" s="1550" t="s">
        <v>305</v>
      </c>
      <c r="U14" s="1551"/>
      <c r="V14" s="1551"/>
      <c r="W14" s="1551"/>
      <c r="X14" s="1551"/>
      <c r="Y14" s="1551"/>
      <c r="Z14" s="1551"/>
      <c r="AA14" s="1551"/>
      <c r="AB14" s="1551"/>
      <c r="AC14" s="1551"/>
      <c r="AD14" s="1551"/>
      <c r="AE14" s="1551"/>
      <c r="AF14" s="1551"/>
      <c r="AG14" s="1551"/>
      <c r="AH14" s="1551"/>
      <c r="AI14" s="1551"/>
      <c r="AJ14" s="1551"/>
      <c r="AK14" s="1551"/>
      <c r="AL14" s="1551"/>
      <c r="AM14" s="1551"/>
      <c r="AO14" s="1011"/>
      <c r="AP14" s="1011" t="str">
        <f>IF(T14="","",T14)</f>
        <v>Добавить централизованную систему для дифференциации</v>
      </c>
      <c r="AQ14" s="1011"/>
      <c r="AR14" s="1011"/>
    </row>
    <row s="16531" customFormat="1" customHeight="1" ht="0.75" hidden="1">
      <c r="A15" s="1541"/>
      <c r="B15" s="1541"/>
      <c r="C15" s="1541"/>
      <c r="D15" s="1541"/>
      <c r="E15" s="2388"/>
      <c r="F15" s="1541"/>
      <c r="G15" s="1541"/>
      <c r="H15" s="1541"/>
      <c r="I15" s="1541"/>
      <c r="J15" s="1541"/>
      <c r="K15" s="1541"/>
      <c r="L15" s="1566"/>
      <c r="M15" s="1548"/>
      <c r="N15" s="1548"/>
      <c r="P15" s="1543"/>
      <c r="Q15" s="1544"/>
      <c r="R15" s="1543"/>
      <c r="S15" s="1549"/>
      <c r="T15" s="1552" t="s">
        <v>358</v>
      </c>
      <c r="U15" s="1551"/>
      <c r="V15" s="1551"/>
      <c r="W15" s="1551"/>
      <c r="X15" s="1551"/>
      <c r="Y15" s="1551"/>
      <c r="Z15" s="1551"/>
      <c r="AA15" s="1551"/>
      <c r="AB15" s="1551"/>
      <c r="AC15" s="1551"/>
      <c r="AD15" s="1551"/>
      <c r="AE15" s="1551"/>
      <c r="AF15" s="1551"/>
      <c r="AG15" s="1551"/>
      <c r="AH15" s="1551"/>
      <c r="AI15" s="1551"/>
      <c r="AJ15" s="1551"/>
      <c r="AK15" s="1551"/>
      <c r="AL15" s="1551"/>
      <c r="AM15" s="1551"/>
      <c r="AO15" s="1011"/>
      <c r="AP15" s="1011" t="str">
        <f>IF(T15="","",T15)</f>
        <v>Добавить территорию для дифференциации</v>
      </c>
      <c r="AQ15" s="1011"/>
      <c r="AR15" s="1011"/>
    </row>
    <row customHeight="1" ht="14.25" hidden="1">
      <c r="AC16" s="549"/>
      <c r="AK16" s="549"/>
    </row>
    <row customHeight="1" ht="14.25" hidden="1">
      <c r="AD17" s="1587"/>
      <c r="AE17" s="1587"/>
      <c r="AF17" s="1587"/>
      <c r="AG17" s="1588"/>
      <c r="AH17" s="2386"/>
      <c r="AI17" s="2385" t="s">
        <v>63</v>
      </c>
      <c r="AJ17" s="2386"/>
      <c r="AK17" s="2385" t="s">
        <v>63</v>
      </c>
    </row>
    <row customHeight="1" ht="14.25" hidden="1">
      <c r="AD18" s="1587"/>
      <c r="AE18" s="1587"/>
      <c r="AF18" s="1587"/>
      <c r="AG18" s="550" t="str">
        <f>AH17&amp;"-"&amp;AJ17</f>
        <v>-</v>
      </c>
      <c r="AH18" s="2385"/>
      <c r="AI18" s="2385"/>
      <c r="AJ18" s="2385"/>
      <c r="AK18" s="2385"/>
    </row>
    <row customHeight="1" ht="14.25" hidden="1">
      <c r="AK19" s="549"/>
    </row>
    <row s="16550" customFormat="1" customHeight="1" ht="22.5" hidden="1">
      <c r="L20" s="1556"/>
      <c r="M20" s="1589"/>
      <c r="N20" s="1589"/>
      <c r="O20" s="1594" t="s">
        <v>521</v>
      </c>
      <c r="P20" s="1589"/>
      <c r="Q20" s="1598"/>
      <c r="R20" s="1598"/>
      <c r="S20" s="951"/>
      <c r="Z20" s="1594"/>
      <c r="AB20" s="1594"/>
      <c r="AC20" s="1593"/>
      <c r="AH20" s="1594"/>
      <c r="AJ20" s="1594"/>
      <c r="AK20" s="1593"/>
      <c r="AN20" s="733"/>
      <c r="AO20" s="733"/>
      <c r="AP20" s="733"/>
      <c r="AQ20" s="733"/>
      <c r="AR20" s="733"/>
    </row>
    <row s="16550" customFormat="1" customHeight="1" ht="14.25" hidden="1">
      <c r="L21" s="1556"/>
      <c r="M21" s="1589"/>
      <c r="N21" s="1589"/>
      <c r="O21" s="1589"/>
      <c r="P21" s="1589"/>
      <c r="Q21" s="1598"/>
      <c r="R21" s="1598"/>
      <c r="S21" s="951"/>
      <c r="AC21" s="1593"/>
      <c r="AK21" s="1593"/>
      <c r="AN21" s="733"/>
      <c r="AO21" s="733"/>
      <c r="AP21" s="733"/>
      <c r="AQ21" s="733"/>
      <c r="AR21" s="733"/>
    </row>
    <row s="16550" customFormat="1" customHeight="1" ht="14.25" hidden="1">
      <c r="L22" s="1556"/>
      <c r="M22" s="1589"/>
      <c r="N22" s="1589"/>
      <c r="O22" s="1591" t="s">
        <v>522</v>
      </c>
      <c r="P22" s="1589"/>
      <c r="Q22" s="1598"/>
      <c r="R22" s="1598"/>
      <c r="S22" s="951"/>
      <c r="T22" s="1384" t="s">
        <v>523</v>
      </c>
      <c r="AA22" s="408" t="s">
        <v>524</v>
      </c>
      <c r="AC22" s="408" t="s">
        <v>525</v>
      </c>
      <c r="AD22" s="1384" t="s">
        <v>523</v>
      </c>
      <c r="AI22" s="408" t="s">
        <v>526</v>
      </c>
      <c r="AK22" s="408" t="s">
        <v>525</v>
      </c>
      <c r="AN22" s="733"/>
      <c r="AO22" s="733"/>
      <c r="AP22" s="733"/>
      <c r="AQ22" s="733"/>
      <c r="AR22" s="733"/>
    </row>
    <row customHeight="1" ht="14.25" hidden="1">
      <c r="O23" s="1591"/>
    </row>
    <row customHeight="1" ht="14.25" hidden="1">
      <c r="O24" s="1591"/>
    </row>
    <row customHeight="1" ht="14.25">
      <c r="Q25" s="598"/>
      <c r="R25" s="598"/>
      <c r="S25" s="1502"/>
      <c r="T25" s="585"/>
      <c r="U25" s="585"/>
      <c r="V25" s="731"/>
      <c r="W25" s="731"/>
      <c r="X25" s="731"/>
      <c r="Y25" s="731"/>
      <c r="Z25" s="731"/>
      <c r="AA25" s="731"/>
      <c r="AB25" s="731"/>
      <c r="AC25" s="731"/>
      <c r="AD25" s="731"/>
      <c r="AE25" s="731"/>
      <c r="AF25" s="731"/>
      <c r="AG25" s="731"/>
      <c r="AH25" s="731"/>
      <c r="AI25" s="731"/>
      <c r="AJ25" s="731"/>
      <c r="AK25" s="731"/>
    </row>
    <row customHeight="1" ht="51">
      <c r="Q26" s="598"/>
      <c r="R26" s="598"/>
      <c r="S26" s="24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1"/>
      <c r="U26" s="2421"/>
      <c r="V26" s="2421"/>
      <c r="W26" s="2421"/>
      <c r="X26" s="2421"/>
      <c r="Y26" s="2421"/>
      <c r="Z26" s="2421"/>
      <c r="AA26" s="2421"/>
      <c r="AB26" s="2421"/>
      <c r="AC26" s="2421"/>
      <c r="AD26" s="2421"/>
      <c r="AE26" s="2421"/>
      <c r="AF26" s="2421"/>
      <c r="AG26" s="2421"/>
      <c r="AH26" s="2421"/>
      <c r="AI26" s="2421"/>
      <c r="AJ26" s="2421"/>
      <c r="AK26" s="1469"/>
    </row>
    <row customHeight="1" ht="14.25">
      <c r="Q27" s="598"/>
      <c r="R27" s="598"/>
      <c r="S27" s="2422" t="str">
        <f>IF(org=0,"Не определено",org)</f>
        <v>КГУП "Примтеплоэнерго"</v>
      </c>
      <c r="T27" s="2422"/>
      <c r="U27" s="2422"/>
      <c r="V27" s="2422"/>
      <c r="W27" s="2422"/>
      <c r="X27" s="2422"/>
      <c r="Y27" s="2422"/>
      <c r="Z27" s="2422"/>
      <c r="AA27" s="2422"/>
      <c r="AB27" s="2422"/>
      <c r="AC27" s="2422"/>
      <c r="AD27" s="2422"/>
      <c r="AE27" s="2422"/>
      <c r="AF27" s="2422"/>
      <c r="AG27" s="2422"/>
      <c r="AH27" s="2422"/>
      <c r="AI27" s="2422"/>
      <c r="AJ27" s="2422"/>
      <c r="AK27" s="1469"/>
    </row>
    <row customHeight="1" ht="14.25" hidden="1">
      <c r="Q28" s="598"/>
      <c r="R28" s="598"/>
      <c r="S28" s="1502"/>
      <c r="T28" s="585"/>
      <c r="U28" s="585"/>
      <c r="V28" s="544"/>
      <c r="W28" s="544"/>
      <c r="X28" s="544"/>
      <c r="Y28" s="544"/>
      <c r="Z28" s="544"/>
      <c r="AA28" s="544"/>
      <c r="AB28" s="544"/>
      <c r="AC28" s="544"/>
      <c r="AD28" s="544"/>
      <c r="AE28" s="544"/>
      <c r="AF28" s="544"/>
      <c r="AG28" s="544"/>
      <c r="AH28" s="544"/>
      <c r="AI28" s="544"/>
      <c r="AJ28" s="544"/>
      <c r="AK28" s="544"/>
      <c r="AL28" s="731"/>
    </row>
    <row s="16563" customFormat="1" customHeight="1" ht="25.5" hidden="1">
      <c r="A29" s="1595"/>
      <c r="B29" s="1595"/>
      <c r="C29" s="1595"/>
      <c r="D29" s="1595"/>
      <c r="E29" s="1595"/>
      <c r="F29" s="1595"/>
      <c r="G29" s="1595"/>
      <c r="H29" s="1595"/>
      <c r="I29" s="1595"/>
      <c r="J29" s="1595"/>
      <c r="K29" s="1595"/>
      <c r="L29" s="1596"/>
      <c r="M29" s="1595"/>
      <c r="N29" s="1595"/>
      <c r="O29" s="1595"/>
      <c r="S29" s="2379" t="s">
        <v>38</v>
      </c>
      <c r="T29" s="2379"/>
      <c r="U29" s="1599"/>
      <c r="V29" s="2381" t="str">
        <f>IF(TITLE_NAME_OR_PR_CHANGE="",IF(TITLE_NAME_OR_PR="","",TITLE_NAME_OR_PR),TITLE_NAME_OR_PR_CHANGE)</f>
        <v/>
      </c>
      <c r="W29" s="2381"/>
      <c r="X29" s="2381"/>
      <c r="Y29" s="2381"/>
      <c r="Z29" s="2381"/>
      <c r="AA29" s="2381"/>
      <c r="AB29" s="2381"/>
      <c r="AC29" s="548"/>
      <c r="AD29" s="2381" t="str">
        <f>IF(TITLE_NAME_OR_PR_CHANGE="",IF(TITLE_NAME_OR_PR="","",TITLE_NAME_OR_PR),TITLE_NAME_OR_PR_CHANGE)</f>
        <v/>
      </c>
      <c r="AE29" s="2381"/>
      <c r="AF29" s="2381"/>
      <c r="AG29" s="2381"/>
      <c r="AH29" s="2381"/>
      <c r="AI29" s="2381"/>
      <c r="AJ29" s="2381"/>
      <c r="AK29" s="548"/>
      <c r="AL29" s="548"/>
      <c r="AM29" s="502"/>
      <c r="AN29" s="590"/>
      <c r="AO29" s="590"/>
      <c r="AP29" s="590"/>
      <c r="AQ29" s="590"/>
      <c r="AR29" s="590"/>
    </row>
    <row s="16563" customFormat="1" customHeight="1" ht="18.75" hidden="1">
      <c r="A30" s="1595"/>
      <c r="B30" s="1595"/>
      <c r="C30" s="1595"/>
      <c r="D30" s="1595"/>
      <c r="E30" s="1595"/>
      <c r="F30" s="1595"/>
      <c r="G30" s="1595"/>
      <c r="H30" s="1595"/>
      <c r="I30" s="1595"/>
      <c r="J30" s="1595"/>
      <c r="K30" s="1595"/>
      <c r="L30" s="1596"/>
      <c r="M30" s="1595"/>
      <c r="N30" s="1595"/>
      <c r="O30" s="1595"/>
      <c r="S30" s="2379" t="s">
        <v>527</v>
      </c>
      <c r="T30" s="2379"/>
      <c r="U30" s="1599"/>
      <c r="V30" s="2380" t="str">
        <f>IF(TITLE_DATE_PR_CHANGE="",IF(TITLE_DATE_PR="","",TITLE_DATE_PR),TITLE_DATE_PR_CHANGE)</f>
        <v>45407.47206018519</v>
      </c>
      <c r="W30" s="2380"/>
      <c r="X30" s="2380"/>
      <c r="Y30" s="2380"/>
      <c r="Z30" s="2380"/>
      <c r="AA30" s="2380"/>
      <c r="AB30" s="2380"/>
      <c r="AC30" s="548"/>
      <c r="AD30" s="2380" t="str">
        <f>IF(TITLE_DATE_PR_CHANGE="",IF(TITLE_DATE_PR="","",TITLE_DATE_PR),TITLE_DATE_PR_CHANGE)</f>
        <v>45407.47206018519</v>
      </c>
      <c r="AE30" s="2380"/>
      <c r="AF30" s="2380"/>
      <c r="AG30" s="2380"/>
      <c r="AH30" s="2380"/>
      <c r="AI30" s="2380"/>
      <c r="AJ30" s="2380"/>
      <c r="AK30" s="548"/>
      <c r="AL30" s="548"/>
      <c r="AM30" s="502"/>
      <c r="AN30" s="590"/>
      <c r="AO30" s="590"/>
      <c r="AP30" s="590"/>
      <c r="AQ30" s="590"/>
      <c r="AR30" s="590"/>
    </row>
    <row s="16563" customFormat="1" customHeight="1" ht="18.75" hidden="1">
      <c r="A31" s="1595"/>
      <c r="B31" s="1595"/>
      <c r="C31" s="1595"/>
      <c r="D31" s="1595"/>
      <c r="E31" s="1595"/>
      <c r="F31" s="1595"/>
      <c r="G31" s="1595"/>
      <c r="H31" s="1595"/>
      <c r="I31" s="1595"/>
      <c r="J31" s="1595"/>
      <c r="K31" s="1595"/>
      <c r="L31" s="1596"/>
      <c r="M31" s="1595"/>
      <c r="N31" s="1595"/>
      <c r="O31" s="1595"/>
      <c r="S31" s="2379" t="s">
        <v>528</v>
      </c>
      <c r="T31" s="2379"/>
      <c r="U31" s="1599"/>
      <c r="V31" s="2381" t="str">
        <f>IF(TITLE_NUMBER_PR_CHANGE="",IF(TITLE_NUMBER_PR="","",TITLE_NUMBER_PR),TITLE_NUMBER_PR_CHANGE)</f>
        <v>27-2067</v>
      </c>
      <c r="W31" s="2381"/>
      <c r="X31" s="2381"/>
      <c r="Y31" s="2381"/>
      <c r="Z31" s="2381"/>
      <c r="AA31" s="2381"/>
      <c r="AB31" s="2381"/>
      <c r="AC31" s="548"/>
      <c r="AD31" s="2381" t="str">
        <f>IF(TITLE_NUMBER_PR_CHANGE="",IF(TITLE_NUMBER_PR="","",TITLE_NUMBER_PR),TITLE_NUMBER_PR_CHANGE)</f>
        <v>27-2067</v>
      </c>
      <c r="AE31" s="2381"/>
      <c r="AF31" s="2381"/>
      <c r="AG31" s="2381"/>
      <c r="AH31" s="2381"/>
      <c r="AI31" s="2381"/>
      <c r="AJ31" s="2381"/>
      <c r="AK31" s="548"/>
      <c r="AL31" s="548"/>
      <c r="AM31" s="502"/>
      <c r="AN31" s="590"/>
      <c r="AO31" s="590"/>
      <c r="AP31" s="590"/>
      <c r="AQ31" s="590"/>
      <c r="AR31" s="590"/>
    </row>
    <row s="16563" customFormat="1" customHeight="1" ht="18.75" hidden="1">
      <c r="A32" s="1595"/>
      <c r="B32" s="1595"/>
      <c r="C32" s="1595"/>
      <c r="D32" s="1595"/>
      <c r="E32" s="1595"/>
      <c r="F32" s="1595"/>
      <c r="G32" s="1595"/>
      <c r="H32" s="1595"/>
      <c r="I32" s="1595"/>
      <c r="J32" s="1595"/>
      <c r="K32" s="1595"/>
      <c r="L32" s="1596"/>
      <c r="M32" s="1595"/>
      <c r="N32" s="1595"/>
      <c r="O32" s="1595"/>
      <c r="S32" s="2379" t="s">
        <v>39</v>
      </c>
      <c r="T32" s="2379"/>
      <c r="U32" s="1599"/>
      <c r="V32" s="2381" t="str">
        <f>IF(TITLE_IST_PUB_CHANGE="",IF(TITLE_IST_PUB="","",TITLE_IST_PUB),TITLE_IST_PUB_CHANGE)</f>
        <v/>
      </c>
      <c r="W32" s="2381"/>
      <c r="X32" s="2381"/>
      <c r="Y32" s="2381"/>
      <c r="Z32" s="2381"/>
      <c r="AA32" s="2381"/>
      <c r="AB32" s="2381"/>
      <c r="AC32" s="548"/>
      <c r="AD32" s="2381" t="str">
        <f>IF(TITLE_IST_PUB_CHANGE="",IF(TITLE_IST_PUB="","",TITLE_IST_PUB),TITLE_IST_PUB_CHANGE)</f>
        <v/>
      </c>
      <c r="AE32" s="2381"/>
      <c r="AF32" s="2381"/>
      <c r="AG32" s="2381"/>
      <c r="AH32" s="2381"/>
      <c r="AI32" s="2381"/>
      <c r="AJ32" s="2381"/>
      <c r="AK32" s="548"/>
      <c r="AL32" s="548"/>
      <c r="AM32" s="502"/>
      <c r="AN32" s="590"/>
      <c r="AO32" s="590"/>
      <c r="AP32" s="590"/>
      <c r="AQ32" s="590"/>
      <c r="AR32" s="590"/>
    </row>
    <row customHeight="1" ht="14.25">
      <c r="Q33" s="598"/>
      <c r="R33" s="598"/>
      <c r="S33" s="1502"/>
      <c r="T33" s="585"/>
      <c r="U33" s="585"/>
      <c r="V33" s="544"/>
      <c r="W33" s="544"/>
      <c r="X33" s="544"/>
      <c r="Y33" s="544"/>
      <c r="Z33" s="544"/>
      <c r="AA33" s="544"/>
      <c r="AB33" s="544"/>
      <c r="AC33" s="544"/>
      <c r="AD33" s="544"/>
      <c r="AE33" s="544"/>
      <c r="AF33" s="544"/>
      <c r="AG33" s="544"/>
      <c r="AH33" s="544"/>
      <c r="AI33" s="544"/>
      <c r="AJ33" s="544"/>
      <c r="AK33" s="544"/>
      <c r="AL33" s="731"/>
    </row>
    <row s="16563" customFormat="1" customHeight="1" ht="18.75">
      <c r="A34" s="1595"/>
      <c r="B34" s="1595"/>
      <c r="C34" s="1595"/>
      <c r="D34" s="1595"/>
      <c r="E34" s="1595"/>
      <c r="F34" s="1595"/>
      <c r="G34" s="1595"/>
      <c r="H34" s="1595"/>
      <c r="I34" s="1595"/>
      <c r="J34" s="1595"/>
      <c r="K34" s="1595"/>
      <c r="L34" s="1596"/>
      <c r="M34" s="1595"/>
      <c r="N34" s="1595"/>
      <c r="O34" s="1595"/>
      <c r="S34" s="2379" t="s">
        <v>529</v>
      </c>
      <c r="T34" s="2379"/>
      <c r="U34" s="1599"/>
      <c r="V34" s="2380" t="str">
        <f>IF(TITLE_DATE_PR_CHANGE="",IF(TITLE_DATE_PR="","",TITLE_DATE_PR),TITLE_DATE_PR_CHANGE)</f>
        <v>45407.47206018519</v>
      </c>
      <c r="W34" s="2380"/>
      <c r="X34" s="2380"/>
      <c r="Y34" s="2380"/>
      <c r="Z34" s="2380"/>
      <c r="AA34" s="2380"/>
      <c r="AB34" s="2380"/>
      <c r="AC34" s="548"/>
      <c r="AD34" s="2380" t="str">
        <f>IF(TITLE_DATE_PR_CHANGE="",IF(TITLE_DATE_PR="","",TITLE_DATE_PR),TITLE_DATE_PR_CHANGE)</f>
        <v>45407.47206018519</v>
      </c>
      <c r="AE34" s="2380"/>
      <c r="AF34" s="2380"/>
      <c r="AG34" s="2380"/>
      <c r="AH34" s="2380"/>
      <c r="AI34" s="2380"/>
      <c r="AJ34" s="2380"/>
      <c r="AK34" s="548"/>
      <c r="AL34" s="548"/>
      <c r="AM34" s="502"/>
      <c r="AN34" s="590"/>
      <c r="AO34" s="590"/>
      <c r="AP34" s="590"/>
      <c r="AQ34" s="590"/>
      <c r="AR34" s="590"/>
    </row>
    <row s="16563" customFormat="1" customHeight="1" ht="18.75">
      <c r="A35" s="1595"/>
      <c r="B35" s="1595"/>
      <c r="C35" s="1595"/>
      <c r="D35" s="1595"/>
      <c r="E35" s="1595"/>
      <c r="F35" s="1595"/>
      <c r="G35" s="1595"/>
      <c r="H35" s="1595"/>
      <c r="I35" s="1595"/>
      <c r="J35" s="1595"/>
      <c r="K35" s="1595"/>
      <c r="L35" s="1596"/>
      <c r="M35" s="1595"/>
      <c r="N35" s="1595"/>
      <c r="O35" s="1595"/>
      <c r="S35" s="2379" t="s">
        <v>530</v>
      </c>
      <c r="T35" s="2379"/>
      <c r="U35" s="1599"/>
      <c r="V35" s="2381" t="str">
        <f>IF(TITLE_NUMBER_PR_CHANGE="",IF(TITLE_NUMBER_PR="","",TITLE_NUMBER_PR),TITLE_NUMBER_PR_CHANGE)</f>
        <v>27-2067</v>
      </c>
      <c r="W35" s="2381"/>
      <c r="X35" s="2381"/>
      <c r="Y35" s="2381"/>
      <c r="Z35" s="2381"/>
      <c r="AA35" s="2381"/>
      <c r="AB35" s="2381"/>
      <c r="AC35" s="548"/>
      <c r="AD35" s="2381" t="str">
        <f>IF(TITLE_NUMBER_PR_CHANGE="",IF(TITLE_NUMBER_PR="","",TITLE_NUMBER_PR),TITLE_NUMBER_PR_CHANGE)</f>
        <v>27-2067</v>
      </c>
      <c r="AE35" s="2381"/>
      <c r="AF35" s="2381"/>
      <c r="AG35" s="2381"/>
      <c r="AH35" s="2381"/>
      <c r="AI35" s="2381"/>
      <c r="AJ35" s="2381"/>
      <c r="AK35" s="548"/>
      <c r="AL35" s="548"/>
      <c r="AM35" s="502"/>
      <c r="AN35" s="590"/>
      <c r="AO35" s="590"/>
      <c r="AP35" s="590"/>
      <c r="AQ35" s="590"/>
      <c r="AR35" s="590"/>
    </row>
    <row s="16563" customFormat="1" customHeight="1" ht="0">
      <c r="A36" s="1595"/>
      <c r="B36" s="1595"/>
      <c r="C36" s="1595"/>
      <c r="D36" s="1595"/>
      <c r="E36" s="1595"/>
      <c r="F36" s="1595"/>
      <c r="G36" s="1595"/>
      <c r="H36" s="1595"/>
      <c r="I36" s="1595"/>
      <c r="J36" s="1595"/>
      <c r="K36" s="1595"/>
      <c r="L36" s="1596"/>
      <c r="M36" s="1595"/>
      <c r="N36" s="1595"/>
      <c r="O36" s="1595"/>
      <c r="S36" s="545"/>
      <c r="T36" s="545"/>
      <c r="U36" s="1567"/>
      <c r="V36" s="548"/>
      <c r="W36" s="548"/>
      <c r="X36" s="548"/>
      <c r="Y36" s="548"/>
      <c r="Z36" s="548"/>
      <c r="AA36" s="548"/>
      <c r="AB36" s="548"/>
      <c r="AC36" s="500" t="s">
        <v>531</v>
      </c>
      <c r="AD36" s="548"/>
      <c r="AE36" s="548"/>
      <c r="AF36" s="548"/>
      <c r="AG36" s="548"/>
      <c r="AH36" s="548"/>
      <c r="AI36" s="548"/>
      <c r="AJ36" s="548"/>
      <c r="AK36" s="500" t="s">
        <v>531</v>
      </c>
      <c r="AN36" s="590"/>
      <c r="AO36" s="590"/>
      <c r="AP36" s="590"/>
      <c r="AQ36" s="590"/>
      <c r="AR36" s="590"/>
    </row>
    <row customHeight="1" ht="14.25">
      <c r="Q37" s="598"/>
      <c r="R37" s="598"/>
      <c r="S37" s="1502"/>
      <c r="T37" s="585"/>
      <c r="U37" s="1470"/>
      <c r="V37" s="2405"/>
      <c r="W37" s="2405"/>
      <c r="X37" s="2405"/>
      <c r="Y37" s="2405"/>
      <c r="Z37" s="2405"/>
      <c r="AA37" s="2405"/>
      <c r="AB37" s="2405"/>
      <c r="AC37" s="2405"/>
      <c r="AD37" s="2405"/>
      <c r="AE37" s="2405"/>
      <c r="AF37" s="2405"/>
      <c r="AG37" s="2405"/>
      <c r="AH37" s="2405"/>
      <c r="AI37" s="2405"/>
      <c r="AJ37" s="2405"/>
      <c r="AK37" s="2405"/>
    </row>
    <row customHeight="1" ht="14.25">
      <c r="Q38" s="598"/>
      <c r="R38" s="598"/>
      <c r="S38" s="2253" t="s">
        <v>406</v>
      </c>
      <c r="T38" s="2253"/>
      <c r="U38" s="2253"/>
      <c r="V38" s="2253"/>
      <c r="W38" s="2253"/>
      <c r="X38" s="2253"/>
      <c r="Y38" s="2253"/>
      <c r="Z38" s="2253"/>
      <c r="AA38" s="2253"/>
      <c r="AB38" s="2253"/>
      <c r="AC38" s="2253"/>
      <c r="AD38" s="2253"/>
      <c r="AE38" s="2253"/>
      <c r="AF38" s="2253"/>
      <c r="AG38" s="2253"/>
      <c r="AH38" s="2253"/>
      <c r="AI38" s="2253"/>
      <c r="AJ38" s="2253"/>
      <c r="AK38" s="2253"/>
      <c r="AL38" s="2253"/>
      <c r="AM38" s="2253" t="s">
        <v>407</v>
      </c>
    </row>
    <row customHeight="1" ht="14.25">
      <c r="Q39" s="598"/>
      <c r="R39" s="598"/>
      <c r="S39" s="2406" t="s">
        <v>84</v>
      </c>
      <c r="T39" s="2343" t="s">
        <v>532</v>
      </c>
      <c r="U39" s="523"/>
      <c r="V39" s="2407" t="s">
        <v>533</v>
      </c>
      <c r="W39" s="2408"/>
      <c r="X39" s="2408"/>
      <c r="Y39" s="2408"/>
      <c r="Z39" s="2408"/>
      <c r="AA39" s="2408"/>
      <c r="AB39" s="2409"/>
      <c r="AC39" s="2410" t="s">
        <v>534</v>
      </c>
      <c r="AD39" s="2407" t="s">
        <v>533</v>
      </c>
      <c r="AE39" s="2408"/>
      <c r="AF39" s="2408"/>
      <c r="AG39" s="2408"/>
      <c r="AH39" s="2408"/>
      <c r="AI39" s="2408"/>
      <c r="AJ39" s="2409"/>
      <c r="AK39" s="2410" t="s">
        <v>535</v>
      </c>
      <c r="AL39" s="2413" t="s">
        <v>536</v>
      </c>
      <c r="AM39" s="2253"/>
    </row>
    <row customHeight="1" ht="33.75">
      <c r="Q40" s="598"/>
      <c r="R40" s="598"/>
      <c r="S40" s="2406"/>
      <c r="T40" s="2343"/>
      <c r="U40" s="1254"/>
      <c r="V40" s="2416" t="s">
        <v>537</v>
      </c>
      <c r="W40" s="2397"/>
      <c r="X40" s="2399" t="s">
        <v>539</v>
      </c>
      <c r="Y40" s="2401"/>
      <c r="Z40" s="2399" t="s">
        <v>540</v>
      </c>
      <c r="AA40" s="2400"/>
      <c r="AB40" s="2401"/>
      <c r="AC40" s="2411"/>
      <c r="AD40" s="2416" t="s">
        <v>553</v>
      </c>
      <c r="AE40" s="2397"/>
      <c r="AF40" s="2399" t="s">
        <v>539</v>
      </c>
      <c r="AG40" s="2401"/>
      <c r="AH40" s="2399" t="s">
        <v>540</v>
      </c>
      <c r="AI40" s="2400"/>
      <c r="AJ40" s="2401"/>
      <c r="AK40" s="2411"/>
      <c r="AL40" s="2414"/>
      <c r="AM40" s="2253"/>
    </row>
    <row customHeight="1" ht="33.75">
      <c r="A41" s="1597"/>
      <c r="B41" s="1597" t="s">
        <v>191</v>
      </c>
      <c r="C41" s="1597" t="s">
        <v>192</v>
      </c>
      <c r="D41" s="1597" t="s">
        <v>193</v>
      </c>
      <c r="E41" s="1591" t="s">
        <v>541</v>
      </c>
      <c r="F41" s="1591" t="s">
        <v>542</v>
      </c>
      <c r="G41" s="1591" t="s">
        <v>543</v>
      </c>
      <c r="H41" s="1591" t="s">
        <v>544</v>
      </c>
      <c r="I41" s="1591" t="s">
        <v>545</v>
      </c>
      <c r="J41" s="1591" t="s">
        <v>546</v>
      </c>
      <c r="K41" s="1591" t="s">
        <v>547</v>
      </c>
      <c r="L41" s="1591" t="s">
        <v>522</v>
      </c>
      <c r="Q41" s="598"/>
      <c r="R41" s="598"/>
      <c r="S41" s="2406"/>
      <c r="T41" s="2343"/>
      <c r="U41" s="524"/>
      <c r="V41" s="2417"/>
      <c r="W41" s="2398"/>
      <c r="X41" s="1448" t="s">
        <v>548</v>
      </c>
      <c r="Y41" s="1448" t="s">
        <v>549</v>
      </c>
      <c r="Z41" s="1565" t="s">
        <v>550</v>
      </c>
      <c r="AA41" s="2402" t="s">
        <v>551</v>
      </c>
      <c r="AB41" s="2403"/>
      <c r="AC41" s="2412"/>
      <c r="AD41" s="2417"/>
      <c r="AE41" s="2398"/>
      <c r="AF41" s="1448" t="s">
        <v>548</v>
      </c>
      <c r="AG41" s="1448" t="s">
        <v>549</v>
      </c>
      <c r="AH41" s="1565" t="s">
        <v>550</v>
      </c>
      <c r="AI41" s="2402" t="s">
        <v>551</v>
      </c>
      <c r="AJ41" s="2403"/>
      <c r="AK41" s="2412"/>
      <c r="AL41" s="2415"/>
      <c r="AM41" s="2253"/>
    </row>
    <row s="16382" customFormat="1" customHeight="1" ht="11.25" hidden="1">
      <c r="A42" s="1597"/>
      <c r="B42" s="1597"/>
      <c r="C42" s="1597"/>
      <c r="D42" s="1597"/>
      <c r="E42" s="1597"/>
      <c r="F42" s="1597"/>
      <c r="G42" s="1597"/>
      <c r="H42" s="1597"/>
      <c r="I42" s="1597"/>
      <c r="J42" s="1597"/>
      <c r="K42" s="1597"/>
      <c r="L42" s="1591"/>
      <c r="M42" s="1589"/>
      <c r="N42" s="1589"/>
      <c r="O42" s="1589"/>
      <c r="P42" s="1472"/>
      <c r="Q42" s="1473"/>
      <c r="R42" s="1480">
        <v>1</v>
      </c>
      <c r="S42" s="1504" t="s">
        <v>168</v>
      </c>
      <c r="T42" s="1481" t="s">
        <v>99</v>
      </c>
      <c r="U42" s="1471" t="str">
        <f>OFFSET(U42,0,-1)</f>
        <v>2</v>
      </c>
      <c r="V42" s="1562">
        <f>OFFSET(V42,0,-1)+1</f>
        <v>3</v>
      </c>
      <c r="W42" s="1562"/>
      <c r="X42" s="1562">
        <f>OFFSET(X42,0,-1)+1</f>
        <v>1</v>
      </c>
      <c r="Y42" s="1562">
        <f>OFFSET(Y42,0,-1)+1</f>
        <v>2</v>
      </c>
      <c r="Z42" s="1562">
        <f>OFFSET(Z42,0,-1)+1</f>
        <v>3</v>
      </c>
      <c r="AA42" s="2404">
        <f>OFFSET(AA42,0,-1)+1</f>
        <v>4</v>
      </c>
      <c r="AB42" s="2404"/>
      <c r="AC42" s="1562">
        <f>OFFSET(AC42,0,-2)+1</f>
        <v>5</v>
      </c>
      <c r="AD42" s="1562">
        <f>OFFSET(AD42,0,-1)+1</f>
        <v>6</v>
      </c>
      <c r="AE42" s="1562"/>
      <c r="AF42" s="1562">
        <f>OFFSET(AF42,0,-1)+1</f>
        <v>1</v>
      </c>
      <c r="AG42" s="1562">
        <f>OFFSET(AG42,0,-1)+1</f>
        <v>2</v>
      </c>
      <c r="AH42" s="1562">
        <f>OFFSET(AH42,0,-1)+1</f>
        <v>3</v>
      </c>
      <c r="AI42" s="2404">
        <f>OFFSET(AI42,0,-1)+1</f>
        <v>4</v>
      </c>
      <c r="AJ42" s="2404"/>
      <c r="AK42" s="1562">
        <f>OFFSET(AK42,0,-2)+1</f>
        <v>5</v>
      </c>
      <c r="AL42" s="1471">
        <f>OFFSET(AL42,0,-1)</f>
        <v>5</v>
      </c>
      <c r="AM42" s="1562">
        <f>OFFSET(AM42,0,-1)+1</f>
        <v>6</v>
      </c>
      <c r="AN42" s="733"/>
      <c r="AO42" s="733"/>
      <c r="AP42" s="733"/>
      <c r="AQ42" s="733"/>
      <c r="AR42" s="733"/>
    </row>
    <row customHeight="1" ht="21">
      <c r="A43" s="1590" t="s">
        <v>218</v>
      </c>
      <c r="B43" s="1590"/>
      <c r="C43" s="1590"/>
      <c r="D43" s="1590"/>
      <c r="E43" s="2388">
        <v>1</v>
      </c>
      <c r="F43" s="1590"/>
      <c r="G43" s="1590"/>
      <c r="H43" s="1590"/>
      <c r="I43" s="1590"/>
      <c r="J43" s="1590"/>
      <c r="K43" s="1590"/>
      <c r="L43" s="1591"/>
      <c r="M43" s="1592"/>
      <c r="N43" s="1592"/>
      <c r="O43" s="1592"/>
      <c r="P43" s="583"/>
      <c r="Q43" s="582"/>
      <c r="R43" s="577"/>
      <c r="S43" s="1563">
        <f>INDEX(PT_DIFFERENTIATION_NUM_NTAR,MATCH(A43,PT_DIFFERENTIATION_NTAR_ID,0))</f>
        <v>0</v>
      </c>
      <c r="T43" s="520" t="s">
        <v>179</v>
      </c>
      <c r="U43" s="522"/>
      <c r="V43" s="2382"/>
      <c r="W43" s="2383"/>
      <c r="X43" s="2383"/>
      <c r="Y43" s="2383"/>
      <c r="Z43" s="2383"/>
      <c r="AA43" s="2383"/>
      <c r="AB43" s="2383"/>
      <c r="AC43" s="2384"/>
      <c r="AD43" s="2382" t="str">
        <f>INDEX(PT_DIFFERENTIATION_NTAR,MATCH(A43,PT_DIFFERENTIATION_NTAR_ID,0))</f>
        <v/>
      </c>
      <c r="AE43" s="2383"/>
      <c r="AF43" s="2383"/>
      <c r="AG43" s="2383"/>
      <c r="AH43" s="2383"/>
      <c r="AI43" s="2383"/>
      <c r="AJ43" s="2383"/>
      <c r="AK43" s="2383"/>
      <c r="AL43" s="2384"/>
      <c r="AM43" s="14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2"/>
      <c r="AP43" s="722" t="str">
        <f>IF(T43="","",T43)</f>
        <v>Наименование тарифа</v>
      </c>
      <c r="AQ43" s="722"/>
      <c r="AR43" s="722"/>
    </row>
    <row customHeight="1" ht="21">
      <c r="A44" s="1590" t="s">
        <v>218</v>
      </c>
      <c r="B44" s="1590" t="s">
        <v>219</v>
      </c>
      <c r="C44" s="1590"/>
      <c r="D44" s="1590"/>
      <c r="E44" s="2389"/>
      <c r="F44" s="2388">
        <v>1</v>
      </c>
      <c r="G44" s="1590"/>
      <c r="H44" s="1590"/>
      <c r="I44" s="1590"/>
      <c r="J44" s="1590"/>
      <c r="K44" s="1590"/>
      <c r="L44" s="1591"/>
      <c r="M44" s="1592"/>
      <c r="N44" s="1592"/>
      <c r="O44" s="1592"/>
      <c r="P44" s="1559"/>
      <c r="Q44" s="574"/>
      <c r="R44" s="575"/>
      <c r="S44" s="1563" t="str">
        <f>INDEX(PT_DIFFERENTIATION_NUM_TER,MATCH(B44,PT_DIFFERENTIATION_TER_ID,0))</f>
        <v>.</v>
      </c>
      <c r="T44" s="530" t="s">
        <v>503</v>
      </c>
      <c r="U44" s="522"/>
      <c r="V44" s="2382"/>
      <c r="W44" s="2383"/>
      <c r="X44" s="2383"/>
      <c r="Y44" s="2383"/>
      <c r="Z44" s="2383"/>
      <c r="AA44" s="2383"/>
      <c r="AB44" s="2383"/>
      <c r="AC44" s="2384"/>
      <c r="AD44" s="2382" t="str">
        <f>INDEX(PT_DIFFERENTIATION_TER,MATCH(B44,PT_DIFFERENTIATION_TER_ID,0))</f>
        <v/>
      </c>
      <c r="AE44" s="2383"/>
      <c r="AF44" s="2383"/>
      <c r="AG44" s="2383"/>
      <c r="AH44" s="2383"/>
      <c r="AI44" s="2383"/>
      <c r="AJ44" s="2383"/>
      <c r="AK44" s="2383"/>
      <c r="AL44" s="2384"/>
      <c r="AM44" s="1484" t="s">
        <v>504</v>
      </c>
      <c r="AO44" s="722"/>
      <c r="AP44" s="722" t="str">
        <f>IF(T44="","",T44)</f>
        <v>Территория действия тарифа</v>
      </c>
      <c r="AQ44" s="722"/>
      <c r="AR44" s="722"/>
    </row>
    <row customHeight="1" ht="23.25">
      <c r="A45" s="1590" t="s">
        <v>218</v>
      </c>
      <c r="B45" s="1590" t="s">
        <v>219</v>
      </c>
      <c r="C45" s="1590" t="s">
        <v>220</v>
      </c>
      <c r="D45" s="1590"/>
      <c r="E45" s="2389"/>
      <c r="F45" s="2389"/>
      <c r="G45" s="2388">
        <v>1</v>
      </c>
      <c r="H45" s="1590"/>
      <c r="I45" s="1590"/>
      <c r="J45" s="1590"/>
      <c r="K45" s="1590"/>
      <c r="L45" s="1591"/>
      <c r="M45" s="1592"/>
      <c r="N45" s="1592"/>
      <c r="O45" s="1592"/>
      <c r="P45" s="576"/>
      <c r="Q45" s="574"/>
      <c r="R45" s="575"/>
      <c r="S45" s="1563" t="str">
        <f>INDEX(PT_DIFFERENTIATION_NUM_CS,MATCH(C45,PT_DIFFERENTIATION_CS_ID,0))</f>
        <v>..</v>
      </c>
      <c r="T45" s="531" t="s">
        <v>505</v>
      </c>
      <c r="U45" s="522"/>
      <c r="V45" s="2382"/>
      <c r="W45" s="2383"/>
      <c r="X45" s="2383"/>
      <c r="Y45" s="2383"/>
      <c r="Z45" s="2383"/>
      <c r="AA45" s="2383"/>
      <c r="AB45" s="2383"/>
      <c r="AC45" s="2384"/>
      <c r="AD45" s="2382" t="str">
        <f>INDEX(PT_DIFFERENTIATION_CS,MATCH(C45,PT_DIFFERENTIATION_CS_ID,0))</f>
        <v/>
      </c>
      <c r="AE45" s="2383"/>
      <c r="AF45" s="2383"/>
      <c r="AG45" s="2383"/>
      <c r="AH45" s="2383"/>
      <c r="AI45" s="2383"/>
      <c r="AJ45" s="2383"/>
      <c r="AK45" s="2383"/>
      <c r="AL45" s="2384"/>
      <c r="AM45" s="1484" t="s">
        <v>506</v>
      </c>
      <c r="AO45" s="722"/>
      <c r="AP45" s="722" t="str">
        <f>IF(T45="","",T45)</f>
        <v>Наименование системы теплоснабжения </v>
      </c>
      <c r="AQ45" s="722"/>
      <c r="AR45" s="722"/>
    </row>
    <row customHeight="1" ht="21">
      <c r="A46" s="1590" t="s">
        <v>218</v>
      </c>
      <c r="B46" s="1590" t="s">
        <v>219</v>
      </c>
      <c r="C46" s="1590" t="s">
        <v>220</v>
      </c>
      <c r="D46" s="1590" t="s">
        <v>221</v>
      </c>
      <c r="E46" s="2389"/>
      <c r="F46" s="2389"/>
      <c r="G46" s="2389"/>
      <c r="H46" s="2388">
        <v>1</v>
      </c>
      <c r="I46" s="1590"/>
      <c r="J46" s="1590"/>
      <c r="K46" s="1590"/>
      <c r="L46" s="1591"/>
      <c r="M46" s="1592"/>
      <c r="N46" s="1592"/>
      <c r="O46" s="1592"/>
      <c r="P46" s="576"/>
      <c r="Q46" s="574"/>
      <c r="R46" s="575"/>
      <c r="S46" s="1563" t="str">
        <f>INDEX(PT_DIFFERENTIATION_NUM_IST_TE,MATCH(D46,PT_DIFFERENTIATION_IST_TE_ID,0))</f>
        <v>...</v>
      </c>
      <c r="T46" s="532" t="s">
        <v>507</v>
      </c>
      <c r="U46" s="522"/>
      <c r="V46" s="2382"/>
      <c r="W46" s="2383"/>
      <c r="X46" s="2383"/>
      <c r="Y46" s="2383"/>
      <c r="Z46" s="2383"/>
      <c r="AA46" s="2383"/>
      <c r="AB46" s="2383"/>
      <c r="AC46" s="2384"/>
      <c r="AD46" s="2382" t="str">
        <f>INDEX(PT_DIFFERENTIATION_IST_TE,MATCH(D46,PT_DIFFERENTIATION_IST_TE_ID,0))</f>
        <v/>
      </c>
      <c r="AE46" s="2383"/>
      <c r="AF46" s="2383"/>
      <c r="AG46" s="2383"/>
      <c r="AH46" s="2383"/>
      <c r="AI46" s="2383"/>
      <c r="AJ46" s="2383"/>
      <c r="AK46" s="2383"/>
      <c r="AL46" s="2384"/>
      <c r="AM46" s="1484" t="s">
        <v>508</v>
      </c>
      <c r="AO46" s="722"/>
      <c r="AP46" s="722" t="str">
        <f>IF(T46="","",T46)</f>
        <v>Источник тепловой энергии  </v>
      </c>
      <c r="AQ46" s="722"/>
      <c r="AR46" s="722"/>
    </row>
    <row s="16622" customFormat="1" customHeight="1" ht="0">
      <c r="A47" s="1570" t="s">
        <v>218</v>
      </c>
      <c r="B47" s="1570" t="s">
        <v>219</v>
      </c>
      <c r="C47" s="1570" t="s">
        <v>220</v>
      </c>
      <c r="D47" s="1570" t="s">
        <v>221</v>
      </c>
      <c r="E47" s="2389"/>
      <c r="F47" s="2389"/>
      <c r="G47" s="2389"/>
      <c r="H47" s="2389"/>
      <c r="I47" s="2390" t="str">
        <f>S46&amp;".1"</f>
        <v>....1</v>
      </c>
      <c r="J47" s="1570"/>
      <c r="K47" s="1570"/>
      <c r="L47" s="1573" t="s">
        <v>509</v>
      </c>
      <c r="M47" s="732"/>
      <c r="N47" s="732"/>
      <c r="O47" s="732"/>
      <c r="P47" s="2392">
        <v>1</v>
      </c>
      <c r="Q47" s="1558"/>
      <c r="R47" s="578"/>
      <c r="S47" s="1265"/>
      <c r="T47" s="1610"/>
      <c r="U47" s="1611"/>
      <c r="V47" s="2430"/>
      <c r="W47" s="2431"/>
      <c r="X47" s="2431"/>
      <c r="Y47" s="2431"/>
      <c r="Z47" s="2431"/>
      <c r="AA47" s="2431"/>
      <c r="AB47" s="2431"/>
      <c r="AC47" s="2432"/>
      <c r="AD47" s="2430"/>
      <c r="AE47" s="2431"/>
      <c r="AF47" s="2431"/>
      <c r="AG47" s="2431"/>
      <c r="AH47" s="2431"/>
      <c r="AI47" s="2431"/>
      <c r="AJ47" s="2431"/>
      <c r="AK47" s="2431"/>
      <c r="AL47" s="2432"/>
      <c r="AM47" s="1612"/>
      <c r="AO47" s="722"/>
      <c r="AP47" s="722" t="str">
        <f>IF(T47="","",T47)</f>
        <v/>
      </c>
      <c r="AQ47" s="722"/>
      <c r="AR47" s="722"/>
    </row>
    <row customHeight="1" ht="21">
      <c r="A48" s="1590" t="s">
        <v>218</v>
      </c>
      <c r="B48" s="1590" t="s">
        <v>219</v>
      </c>
      <c r="C48" s="1590" t="s">
        <v>220</v>
      </c>
      <c r="D48" s="1590" t="s">
        <v>221</v>
      </c>
      <c r="E48" s="2389"/>
      <c r="F48" s="2389"/>
      <c r="G48" s="2389"/>
      <c r="H48" s="2389"/>
      <c r="I48" s="2391"/>
      <c r="J48" s="2390" t="str">
        <f>S46&amp;".1"</f>
        <v>....1</v>
      </c>
      <c r="K48" s="1590"/>
      <c r="L48" s="1591" t="s">
        <v>512</v>
      </c>
      <c r="P48" s="2392"/>
      <c r="Q48" s="2392">
        <v>1</v>
      </c>
      <c r="R48" s="579"/>
      <c r="S48" s="1563" t="str">
        <f>$J48</f>
        <v>....1</v>
      </c>
      <c r="T48" s="508" t="s">
        <v>513</v>
      </c>
      <c r="U48" s="522"/>
      <c r="V48" s="2376"/>
      <c r="W48" s="2377"/>
      <c r="X48" s="2377"/>
      <c r="Y48" s="2377"/>
      <c r="Z48" s="2377"/>
      <c r="AA48" s="2377"/>
      <c r="AB48" s="2377"/>
      <c r="AC48" s="2378"/>
      <c r="AD48" s="2376"/>
      <c r="AE48" s="2377"/>
      <c r="AF48" s="2377"/>
      <c r="AG48" s="2377"/>
      <c r="AH48" s="2377"/>
      <c r="AI48" s="2377"/>
      <c r="AJ48" s="2377"/>
      <c r="AK48" s="2377"/>
      <c r="AL48" s="2378"/>
      <c r="AM48" s="1484" t="s">
        <v>514</v>
      </c>
      <c r="AO48" s="722"/>
      <c r="AP48" s="722" t="str">
        <f>IF(T48="","",T48)</f>
        <v>Группа потребителей</v>
      </c>
      <c r="AQ48" s="722"/>
      <c r="AR48" s="722"/>
    </row>
    <row customHeight="1" ht="21">
      <c r="A49" s="1590" t="s">
        <v>218</v>
      </c>
      <c r="B49" s="1590" t="s">
        <v>219</v>
      </c>
      <c r="C49" s="1590" t="s">
        <v>220</v>
      </c>
      <c r="D49" s="1590" t="s">
        <v>221</v>
      </c>
      <c r="E49" s="2389"/>
      <c r="F49" s="2389"/>
      <c r="G49" s="2389"/>
      <c r="H49" s="2389"/>
      <c r="I49" s="2391"/>
      <c r="J49" s="2391"/>
      <c r="K49" s="2390" t="str">
        <f>J48&amp;".1"</f>
        <v>....1.1</v>
      </c>
      <c r="L49" s="1591" t="s">
        <v>515</v>
      </c>
      <c r="P49" s="2392"/>
      <c r="Q49" s="2392"/>
      <c r="R49" s="579">
        <v>1</v>
      </c>
      <c r="S49" s="1563" t="str">
        <f>$K49</f>
        <v>....1.1</v>
      </c>
      <c r="T49" s="1574"/>
      <c r="U49" s="522"/>
      <c r="V49" s="973"/>
      <c r="W49" s="547"/>
      <c r="X49" s="973"/>
      <c r="Y49" s="1483"/>
      <c r="Z49" s="2393"/>
      <c r="AA49" s="2263" t="s">
        <v>63</v>
      </c>
      <c r="AB49" s="2393"/>
      <c r="AC49" s="2263" t="s">
        <v>63</v>
      </c>
      <c r="AD49" s="973"/>
      <c r="AE49" s="547"/>
      <c r="AF49" s="973"/>
      <c r="AG49" s="1483"/>
      <c r="AH49" s="2393"/>
      <c r="AI49" s="2263" t="s">
        <v>63</v>
      </c>
      <c r="AJ49" s="2395"/>
      <c r="AK49" s="2263" t="s">
        <v>63</v>
      </c>
      <c r="AL49" s="1575"/>
      <c r="AM49" s="2418" t="s">
        <v>554</v>
      </c>
      <c r="AN49" s="733">
        <f>STRCHECKDATE(V50:AL50)</f>
      </c>
      <c r="AO49" s="722"/>
      <c r="AP49" s="722" t="str">
        <f>IF(T49="","",T49)</f>
        <v/>
      </c>
      <c r="AQ49" s="722"/>
      <c r="AR49" s="722"/>
    </row>
    <row customHeight="1" ht="0.75">
      <c r="A50" s="1590" t="s">
        <v>218</v>
      </c>
      <c r="B50" s="1590" t="s">
        <v>219</v>
      </c>
      <c r="C50" s="1590" t="s">
        <v>220</v>
      </c>
      <c r="D50" s="1590" t="s">
        <v>221</v>
      </c>
      <c r="E50" s="2389"/>
      <c r="F50" s="2389"/>
      <c r="G50" s="2389"/>
      <c r="H50" s="2389"/>
      <c r="I50" s="2391"/>
      <c r="J50" s="2391"/>
      <c r="K50" s="2390"/>
      <c r="L50" s="1591"/>
      <c r="P50" s="2392"/>
      <c r="Q50" s="2392"/>
      <c r="R50" s="579"/>
      <c r="S50" s="1569"/>
      <c r="T50" s="522"/>
      <c r="U50" s="522"/>
      <c r="V50" s="547"/>
      <c r="W50" s="547"/>
      <c r="X50" s="547"/>
      <c r="Y50" s="550" t="str">
        <f>Z49&amp;"-"&amp;AB49</f>
        <v>-</v>
      </c>
      <c r="Z50" s="2394"/>
      <c r="AA50" s="2263"/>
      <c r="AB50" s="2394"/>
      <c r="AC50" s="2263"/>
      <c r="AD50" s="547"/>
      <c r="AE50" s="547"/>
      <c r="AF50" s="547"/>
      <c r="AG50" s="550" t="str">
        <f>AH49&amp;"-"&amp;AJ49</f>
        <v>-</v>
      </c>
      <c r="AH50" s="2394"/>
      <c r="AI50" s="2263"/>
      <c r="AJ50" s="2396"/>
      <c r="AK50" s="2263"/>
      <c r="AL50" s="1576"/>
      <c r="AM50" s="2419"/>
      <c r="AO50" s="722"/>
      <c r="AP50" s="722" t="str">
        <f>IF(T50="","",T50)</f>
        <v/>
      </c>
      <c r="AQ50" s="722"/>
      <c r="AR50" s="722"/>
    </row>
    <row customHeight="1" ht="11.25">
      <c r="A51" s="1590" t="s">
        <v>218</v>
      </c>
      <c r="B51" s="1590" t="s">
        <v>219</v>
      </c>
      <c r="C51" s="1590" t="s">
        <v>220</v>
      </c>
      <c r="D51" s="1590" t="s">
        <v>221</v>
      </c>
      <c r="E51" s="2389"/>
      <c r="F51" s="2389"/>
      <c r="G51" s="2389"/>
      <c r="H51" s="2389"/>
      <c r="I51" s="2391"/>
      <c r="J51" s="2390"/>
      <c r="K51" s="1590"/>
      <c r="L51" s="1591"/>
      <c r="P51" s="2392"/>
      <c r="Q51" s="2392"/>
      <c r="R51" s="578"/>
      <c r="S51" s="1505"/>
      <c r="T51" s="509" t="s">
        <v>517</v>
      </c>
      <c r="U51" s="589"/>
      <c r="V51" s="589"/>
      <c r="W51" s="589"/>
      <c r="X51" s="589"/>
      <c r="Y51" s="589"/>
      <c r="Z51" s="589"/>
      <c r="AA51" s="589"/>
      <c r="AB51" s="589"/>
      <c r="AC51" s="589"/>
      <c r="AD51" s="589"/>
      <c r="AE51" s="589"/>
      <c r="AF51" s="589"/>
      <c r="AG51" s="589"/>
      <c r="AH51" s="589"/>
      <c r="AI51" s="589"/>
      <c r="AJ51" s="589"/>
      <c r="AK51" s="589"/>
      <c r="AL51" s="546"/>
      <c r="AM51" s="2420"/>
      <c r="AO51" s="722"/>
      <c r="AP51" s="722" t="str">
        <f>IF(T51="","",T51)</f>
        <v>Добавить вид теплоносителя (параметры теплоносителя)</v>
      </c>
      <c r="AQ51" s="722"/>
      <c r="AR51" s="722"/>
    </row>
    <row customHeight="1" ht="11.25">
      <c r="A52" s="1590" t="s">
        <v>218</v>
      </c>
      <c r="B52" s="1590" t="s">
        <v>219</v>
      </c>
      <c r="C52" s="1590" t="s">
        <v>220</v>
      </c>
      <c r="D52" s="1590" t="s">
        <v>221</v>
      </c>
      <c r="E52" s="2389"/>
      <c r="F52" s="2389"/>
      <c r="G52" s="2389"/>
      <c r="H52" s="2389"/>
      <c r="I52" s="2390"/>
      <c r="J52" s="1590"/>
      <c r="K52" s="1590"/>
      <c r="L52" s="1591"/>
      <c r="P52" s="2392"/>
      <c r="Q52" s="1558"/>
      <c r="R52" s="578"/>
      <c r="S52" s="1505"/>
      <c r="T52" s="587" t="s">
        <v>518</v>
      </c>
      <c r="U52" s="589"/>
      <c r="V52" s="589"/>
      <c r="W52" s="589"/>
      <c r="X52" s="589"/>
      <c r="Y52" s="589"/>
      <c r="Z52" s="589"/>
      <c r="AA52" s="589"/>
      <c r="AB52" s="589"/>
      <c r="AC52" s="588"/>
      <c r="AD52" s="589"/>
      <c r="AE52" s="589"/>
      <c r="AF52" s="589"/>
      <c r="AG52" s="589"/>
      <c r="AH52" s="589"/>
      <c r="AI52" s="589"/>
      <c r="AJ52" s="589"/>
      <c r="AK52" s="588"/>
      <c r="AL52" s="589"/>
      <c r="AM52" s="525"/>
      <c r="AO52" s="722"/>
      <c r="AP52" s="722" t="str">
        <f>IF(T52="","",T52)</f>
        <v>Добавить группу потребителей</v>
      </c>
      <c r="AQ52" s="722"/>
      <c r="AR52" s="722"/>
    </row>
    <row customHeight="1" ht="0">
      <c r="A53" s="1590" t="s">
        <v>218</v>
      </c>
      <c r="B53" s="1590" t="s">
        <v>219</v>
      </c>
      <c r="C53" s="1590" t="s">
        <v>220</v>
      </c>
      <c r="D53" s="1590" t="s">
        <v>221</v>
      </c>
      <c r="E53" s="2389"/>
      <c r="F53" s="2389"/>
      <c r="G53" s="2389"/>
      <c r="H53" s="2388"/>
      <c r="I53" s="1590"/>
      <c r="J53" s="1590"/>
      <c r="K53" s="1590"/>
      <c r="L53" s="1591"/>
      <c r="M53" s="1592"/>
      <c r="N53" s="1592"/>
      <c r="O53" s="759"/>
      <c r="P53" s="582"/>
      <c r="Q53" s="597"/>
      <c r="R53" s="577"/>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2"/>
      <c r="AP53" s="722" t="str">
        <f>IF(T53="","",T53)</f>
        <v/>
      </c>
      <c r="AQ53" s="722"/>
      <c r="AR53" s="722"/>
    </row>
    <row s="16531" customFormat="1" customHeight="1" ht="0.75">
      <c r="A54" s="1570" t="s">
        <v>218</v>
      </c>
      <c r="B54" s="1570" t="s">
        <v>219</v>
      </c>
      <c r="C54" s="1570" t="s">
        <v>220</v>
      </c>
      <c r="D54" s="1541"/>
      <c r="E54" s="2389"/>
      <c r="F54" s="2389"/>
      <c r="G54" s="2388"/>
      <c r="H54" s="1541"/>
      <c r="I54" s="1541"/>
      <c r="J54" s="1541"/>
      <c r="K54" s="1541"/>
      <c r="L54" s="1566"/>
      <c r="M54" s="1542"/>
      <c r="N54" s="1542"/>
      <c r="P54" s="1543"/>
      <c r="Q54" s="1544"/>
      <c r="R54" s="1543"/>
      <c r="S54" s="1549"/>
      <c r="T54" s="1552" t="s">
        <v>520</v>
      </c>
      <c r="U54" s="1551"/>
      <c r="V54" s="1551"/>
      <c r="W54" s="1551"/>
      <c r="X54" s="1551"/>
      <c r="Y54" s="1551"/>
      <c r="Z54" s="1551"/>
      <c r="AA54" s="1551"/>
      <c r="AB54" s="1551"/>
      <c r="AC54" s="1551"/>
      <c r="AD54" s="1551"/>
      <c r="AE54" s="1551"/>
      <c r="AF54" s="1551"/>
      <c r="AG54" s="1551"/>
      <c r="AH54" s="1551"/>
      <c r="AI54" s="1551"/>
      <c r="AJ54" s="1551"/>
      <c r="AK54" s="1551"/>
      <c r="AL54" s="1551"/>
      <c r="AM54" s="1551"/>
      <c r="AO54" s="1011"/>
      <c r="AP54" s="1011" t="str">
        <f>IF(T54="","",T54)</f>
        <v>Добавить источник для дифференциации</v>
      </c>
      <c r="AQ54" s="1011"/>
      <c r="AR54" s="1011"/>
    </row>
    <row s="16531" customFormat="1" customHeight="1" ht="0.75">
      <c r="A55" s="1570" t="s">
        <v>218</v>
      </c>
      <c r="B55" s="1570" t="s">
        <v>219</v>
      </c>
      <c r="C55" s="1541"/>
      <c r="D55" s="1541"/>
      <c r="E55" s="2389"/>
      <c r="F55" s="2388"/>
      <c r="G55" s="1541"/>
      <c r="H55" s="1541"/>
      <c r="I55" s="1541"/>
      <c r="J55" s="1541"/>
      <c r="K55" s="1541"/>
      <c r="L55" s="1566"/>
      <c r="M55" s="1548"/>
      <c r="N55" s="1548"/>
      <c r="P55" s="1543"/>
      <c r="Q55" s="1544"/>
      <c r="R55" s="1543"/>
      <c r="S55" s="1549"/>
      <c r="T55" s="1552" t="s">
        <v>305</v>
      </c>
      <c r="U55" s="1551"/>
      <c r="V55" s="1551"/>
      <c r="W55" s="1551"/>
      <c r="X55" s="1551"/>
      <c r="Y55" s="1551"/>
      <c r="Z55" s="1551"/>
      <c r="AA55" s="1551"/>
      <c r="AB55" s="1551"/>
      <c r="AC55" s="1551"/>
      <c r="AD55" s="1551"/>
      <c r="AE55" s="1551"/>
      <c r="AF55" s="1551"/>
      <c r="AG55" s="1551"/>
      <c r="AH55" s="1551"/>
      <c r="AI55" s="1551"/>
      <c r="AJ55" s="1551"/>
      <c r="AK55" s="1551"/>
      <c r="AL55" s="1551"/>
      <c r="AM55" s="1551"/>
      <c r="AO55" s="1011"/>
      <c r="AP55" s="1011" t="str">
        <f>IF(T55="","",T55)</f>
        <v>Добавить централизованную систему для дифференциации</v>
      </c>
      <c r="AQ55" s="1011"/>
      <c r="AR55" s="1011"/>
    </row>
    <row s="16622" customFormat="1" customHeight="1" ht="0.75">
      <c r="A56" s="1570" t="s">
        <v>218</v>
      </c>
      <c r="B56" s="1570"/>
      <c r="C56" s="1570"/>
      <c r="D56" s="1570"/>
      <c r="E56" s="2388"/>
      <c r="F56" s="1570"/>
      <c r="G56" s="1570"/>
      <c r="H56" s="1570"/>
      <c r="I56" s="1570"/>
      <c r="J56" s="1570"/>
      <c r="K56" s="1570"/>
      <c r="L56" s="1573"/>
      <c r="M56" s="1548"/>
      <c r="N56" s="1548"/>
      <c r="O56" s="740"/>
      <c r="P56" s="602"/>
      <c r="Q56" s="1571"/>
      <c r="R56" s="602"/>
      <c r="S56" s="1549"/>
      <c r="T56" s="1552" t="s">
        <v>358</v>
      </c>
      <c r="U56" s="1551"/>
      <c r="V56" s="1551"/>
      <c r="W56" s="1551"/>
      <c r="X56" s="1551"/>
      <c r="Y56" s="1551"/>
      <c r="Z56" s="1551"/>
      <c r="AA56" s="1551"/>
      <c r="AB56" s="1551"/>
      <c r="AC56" s="1551"/>
      <c r="AD56" s="1551"/>
      <c r="AE56" s="1551"/>
      <c r="AF56" s="1551"/>
      <c r="AG56" s="1551"/>
      <c r="AH56" s="1551"/>
      <c r="AI56" s="1551"/>
      <c r="AJ56" s="1551"/>
      <c r="AK56" s="1551"/>
      <c r="AL56" s="1551"/>
      <c r="AM56" s="1551"/>
      <c r="AO56" s="722"/>
      <c r="AP56" s="722" t="str">
        <f>IF(T56="","",T56)</f>
        <v>Добавить территорию для дифференциации</v>
      </c>
      <c r="AQ56" s="722"/>
      <c r="AR56" s="722"/>
    </row>
    <row s="16531" customFormat="1" customHeight="1" ht="0.75">
      <c r="A57" s="1541"/>
      <c r="B57" s="1541"/>
      <c r="C57" s="1541"/>
      <c r="D57" s="1541"/>
      <c r="E57" s="1570"/>
      <c r="F57" s="1541"/>
      <c r="G57" s="1541"/>
      <c r="H57" s="1541"/>
      <c r="I57" s="1541"/>
      <c r="J57" s="1541"/>
      <c r="K57" s="1541"/>
      <c r="L57" s="1566"/>
      <c r="M57" s="1548"/>
      <c r="N57" s="1548"/>
      <c r="P57" s="1543"/>
      <c r="Q57" s="1544"/>
      <c r="R57" s="1543"/>
      <c r="S57" s="1549"/>
      <c r="T57" s="1552" t="s">
        <v>359</v>
      </c>
      <c r="U57" s="1551"/>
      <c r="V57" s="1551"/>
      <c r="W57" s="1551"/>
      <c r="X57" s="1551"/>
      <c r="Y57" s="1551"/>
      <c r="Z57" s="1551"/>
      <c r="AA57" s="1551"/>
      <c r="AB57" s="1551"/>
      <c r="AC57" s="1551"/>
      <c r="AD57" s="1551"/>
      <c r="AE57" s="1551"/>
      <c r="AF57" s="1551"/>
      <c r="AG57" s="1551"/>
      <c r="AH57" s="1551"/>
      <c r="AI57" s="1551"/>
      <c r="AJ57" s="1551"/>
      <c r="AK57" s="1551"/>
      <c r="AL57" s="1551"/>
      <c r="AM57" s="1551"/>
      <c r="AO57" s="1011"/>
      <c r="AP57" s="1011" t="str">
        <f>IF(T57="","",T57)</f>
        <v>Добавить наименование тарифа</v>
      </c>
      <c r="AQ57" s="1011"/>
      <c r="AR57" s="1011"/>
    </row>
    <row customHeight="1" ht="11.25">
      <c r="M58" s="1384"/>
      <c r="N58" s="1384"/>
      <c r="O58" s="759"/>
      <c r="P58" s="1379"/>
      <c r="Q58" s="1379"/>
      <c r="R58" s="1379"/>
      <c r="S58" s="1379"/>
      <c r="AN58" s="1379"/>
      <c r="AO58" s="1379"/>
      <c r="AP58" s="1379"/>
      <c r="AQ58" s="1379"/>
      <c r="AR58" s="1379"/>
    </row>
    <row customHeight="1" ht="18.75">
      <c r="O59" s="759"/>
      <c r="S59" s="1479"/>
      <c r="T59" s="2387"/>
      <c r="U59" s="2387"/>
      <c r="V59" s="2387"/>
      <c r="W59" s="2387"/>
      <c r="X59" s="2387"/>
      <c r="Y59" s="2387"/>
      <c r="Z59" s="2387"/>
      <c r="AA59" s="2387"/>
      <c r="AB59" s="2387"/>
      <c r="AC59" s="2387"/>
      <c r="AD59" s="2387"/>
      <c r="AE59" s="2387"/>
      <c r="AF59" s="2387"/>
      <c r="AG59" s="2387"/>
      <c r="AH59" s="2387"/>
      <c r="AI59" s="2387"/>
      <c r="AJ59" s="2387"/>
      <c r="AK59" s="2387"/>
      <c r="AL59" s="2387"/>
      <c r="AM59" s="2387"/>
    </row>
    <row customHeight="1" ht="27.75">
      <c r="O60" s="759"/>
      <c r="T60" s="2387"/>
      <c r="U60" s="2387"/>
      <c r="V60" s="2387"/>
      <c r="W60" s="2387"/>
      <c r="X60" s="2387"/>
      <c r="Y60" s="2387"/>
      <c r="Z60" s="2387"/>
      <c r="AA60" s="2387"/>
      <c r="AB60" s="2387"/>
      <c r="AC60" s="2387"/>
      <c r="AD60" s="2387"/>
      <c r="AE60" s="2387"/>
      <c r="AF60" s="2387"/>
      <c r="AG60" s="2387"/>
      <c r="AH60" s="2387"/>
      <c r="AI60" s="2387"/>
      <c r="AJ60" s="2387"/>
      <c r="AK60" s="2387"/>
      <c r="AL60" s="2387"/>
      <c r="AM60" s="2387"/>
    </row>
    <row customHeight="1" ht="39.75">
      <c r="O61" s="759"/>
      <c r="T61" s="2387"/>
      <c r="U61" s="2387"/>
      <c r="V61" s="2387"/>
      <c r="W61" s="2387"/>
      <c r="X61" s="2387"/>
      <c r="Y61" s="2387"/>
      <c r="Z61" s="2387"/>
      <c r="AA61" s="2387"/>
      <c r="AB61" s="2387"/>
      <c r="AC61" s="2387"/>
      <c r="AD61" s="2387"/>
      <c r="AE61" s="2387"/>
      <c r="AF61" s="2387"/>
      <c r="AG61" s="2387"/>
      <c r="AH61" s="2387"/>
      <c r="AI61" s="2387"/>
      <c r="AJ61" s="2387"/>
      <c r="AK61" s="2387"/>
      <c r="AL61" s="2387"/>
      <c r="AM61" s="2387"/>
    </row>
    <row customHeight="1" ht="14.25">
      <c r="O62" s="759"/>
    </row>
    <row customHeight="1" ht="19.5">
      <c r="O63" s="759"/>
      <c r="S63" s="1479"/>
      <c r="T63" s="2433"/>
      <c r="U63" s="2387"/>
      <c r="V63" s="2387"/>
      <c r="W63" s="2387"/>
      <c r="X63" s="2387"/>
      <c r="Y63" s="2387"/>
      <c r="Z63" s="2387"/>
      <c r="AA63" s="2387"/>
      <c r="AB63" s="2387"/>
      <c r="AC63" s="2387"/>
      <c r="AD63" s="2387"/>
      <c r="AE63" s="2387"/>
      <c r="AF63" s="2387"/>
      <c r="AG63" s="2387"/>
      <c r="AH63" s="2387"/>
      <c r="AI63" s="2387"/>
      <c r="AJ63" s="2387"/>
      <c r="AK63" s="2387"/>
      <c r="AL63" s="2387"/>
      <c r="AM63" s="2387"/>
    </row>
    <row customHeight="1" ht="27.75">
      <c r="O64" s="759"/>
      <c r="T64" s="2387"/>
      <c r="U64" s="2387"/>
      <c r="V64" s="2387"/>
      <c r="W64" s="2387"/>
      <c r="X64" s="2387"/>
      <c r="Y64" s="2387"/>
      <c r="Z64" s="2387"/>
      <c r="AA64" s="2387"/>
      <c r="AB64" s="2387"/>
      <c r="AC64" s="2387"/>
      <c r="AD64" s="2387"/>
      <c r="AE64" s="2387"/>
      <c r="AF64" s="2387"/>
      <c r="AG64" s="2387"/>
      <c r="AH64" s="2387"/>
      <c r="AI64" s="2387"/>
      <c r="AJ64" s="2387"/>
      <c r="AK64" s="2387"/>
      <c r="AL64" s="2387"/>
      <c r="AM64" s="2387"/>
    </row>
    <row customHeight="1" ht="33.75">
      <c r="T65" s="2387"/>
      <c r="U65" s="2387"/>
      <c r="V65" s="2387"/>
      <c r="W65" s="2387"/>
      <c r="X65" s="2387"/>
      <c r="Y65" s="2387"/>
      <c r="Z65" s="2387"/>
      <c r="AA65" s="2387"/>
      <c r="AB65" s="2387"/>
      <c r="AC65" s="2387"/>
      <c r="AD65" s="2387"/>
      <c r="AE65" s="2387"/>
      <c r="AF65" s="2387"/>
      <c r="AG65" s="2387"/>
      <c r="AH65" s="2387"/>
      <c r="AI65" s="2387"/>
      <c r="AJ65" s="2387"/>
      <c r="AK65" s="2387"/>
      <c r="AL65" s="2387"/>
      <c r="AM65" s="2387"/>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0E44E5-E1A9-4452-D775-ECE177168252}"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6550" width="10.57421875" hidden="1"/>
    <col min="2" max="2" style="16550" width="11.00390625" hidden="1" customWidth="1"/>
    <col min="3" max="3" style="16550" width="10.57421875" hidden="1"/>
    <col min="4" max="4" style="16550" width="11.8515625" hidden="1" customWidth="1"/>
    <col min="5" max="5" style="16550" width="10.00390625" hidden="1" customWidth="1"/>
    <col min="6" max="6" style="16550" width="8.7109375" hidden="1" customWidth="1"/>
    <col min="7" max="7" style="16550" width="7.57421875" hidden="1" customWidth="1"/>
    <col min="8" max="8" style="16550" width="11.421875" hidden="1" customWidth="1"/>
    <col min="9" max="9" style="16550" width="12.00390625" hidden="1" customWidth="1"/>
    <col min="10" max="10" style="16550" width="9.8515625" hidden="1" customWidth="1"/>
    <col min="11" max="11" style="16550" width="11.421875" hidden="1" customWidth="1"/>
    <col min="12" max="12" style="16630" width="19.140625" hidden="1" customWidth="1"/>
    <col min="13" max="14" style="16631" width="12.28125" hidden="1" customWidth="1"/>
    <col min="15" max="15" style="16631" width="23.421875" hidden="1" customWidth="1"/>
    <col min="16" max="16" style="16643" width="3.7109375" hidden="1" customWidth="1"/>
    <col min="17" max="18" style="16633" width="3.7109375" customWidth="1"/>
    <col min="19" max="19" style="16634" width="12.7109375" customWidth="1"/>
    <col min="20" max="20" style="16635" width="32.00390625" customWidth="1"/>
    <col min="21" max="21" style="16635" width="0.140625" customWidth="1"/>
    <col min="22" max="22" style="16635" width="24.7109375" hidden="1" customWidth="1"/>
    <col min="23" max="23" style="16635" width="0.140625" hidden="1" customWidth="1"/>
    <col min="24" max="25" style="16635" width="24.7109375" hidden="1" customWidth="1"/>
    <col min="26" max="26" style="16635" width="11.7109375" hidden="1" customWidth="1"/>
    <col min="27" max="27" style="16635" width="3.7109375" hidden="1" customWidth="1"/>
    <col min="28" max="28" style="16635" width="11.7109375" hidden="1" customWidth="1"/>
    <col min="29" max="29" style="16635" width="8.57421875" hidden="1" customWidth="1"/>
    <col min="30" max="30" style="16635" width="24.7109375" customWidth="1"/>
    <col min="31" max="31" style="16635" width="0.140625" customWidth="1"/>
    <col min="32" max="33" style="16635" width="24.7109375" customWidth="1"/>
    <col min="34" max="34" style="16635" width="11.7109375" customWidth="1"/>
    <col min="35" max="35" style="16635" width="3.7109375" customWidth="1"/>
    <col min="36" max="36" style="16635" width="11.7109375" customWidth="1"/>
    <col min="37" max="37" style="16635" width="8.57421875" hidden="1" customWidth="1"/>
    <col min="38" max="38" style="16635" width="4.7109375" customWidth="1"/>
    <col min="39" max="39" style="16635" width="115.7109375" customWidth="1"/>
    <col min="40" max="41" style="16622" width="10.57421875"/>
    <col min="42" max="42" style="16622" width="11.140625" customWidth="1"/>
    <col min="43" max="44" style="16622" width="10.57421875"/>
  </cols>
  <sheetData>
    <row customHeight="1" ht="14.25" hidden="1">
      <c r="A1" s="2099"/>
      <c r="Y1" s="549"/>
      <c r="Z1" s="549"/>
      <c r="AG1" s="549"/>
      <c r="AH1" s="549"/>
    </row>
    <row customHeight="1" ht="21" hidden="1">
      <c r="A2" s="1590"/>
      <c r="B2" s="1590"/>
      <c r="C2" s="1590"/>
      <c r="D2" s="1590"/>
      <c r="E2" s="2388">
        <v>1</v>
      </c>
      <c r="F2" s="1590"/>
      <c r="G2" s="1590"/>
      <c r="H2" s="1590"/>
      <c r="I2" s="1590"/>
      <c r="J2" s="1590"/>
      <c r="K2" s="1590"/>
      <c r="L2" s="1591"/>
      <c r="M2" s="1592"/>
      <c r="N2" s="1592"/>
      <c r="O2" s="1592"/>
      <c r="P2" s="583"/>
      <c r="Q2" s="582"/>
      <c r="R2" s="577"/>
      <c r="S2" s="1563">
        <f>INDEX(PT_DIFFERENTIATION_NUM_NTAR,MATCH(A2,PT_DIFFERENTIATION_NTAR_ID,0))</f>
      </c>
      <c r="T2" s="520" t="s">
        <v>179</v>
      </c>
      <c r="U2" s="522"/>
      <c r="V2" s="2382"/>
      <c r="W2" s="2383"/>
      <c r="X2" s="2383"/>
      <c r="Y2" s="2383"/>
      <c r="Z2" s="2383"/>
      <c r="AA2" s="2383"/>
      <c r="AB2" s="2383"/>
      <c r="AC2" s="2384"/>
      <c r="AD2" s="2382">
        <f>INDEX(PT_DIFFERENTIATION_NTAR,MATCH(A2,PT_DIFFERENTIATION_NTAR_ID,0))</f>
      </c>
      <c r="AE2" s="2383"/>
      <c r="AF2" s="2383"/>
      <c r="AG2" s="2383"/>
      <c r="AH2" s="2383"/>
      <c r="AI2" s="2383"/>
      <c r="AJ2" s="2383"/>
      <c r="AK2" s="2383"/>
      <c r="AL2" s="2384"/>
      <c r="AM2" s="1484" t="s">
        <v>502</v>
      </c>
      <c r="AO2" s="722"/>
      <c r="AP2" s="722" t="str">
        <f>IF(T2="","",T2)</f>
        <v>Наименование тарифа</v>
      </c>
      <c r="AQ2" s="722"/>
      <c r="AR2" s="722"/>
    </row>
    <row customHeight="1" ht="21" hidden="1">
      <c r="A3" s="1590"/>
      <c r="B3" s="1590"/>
      <c r="C3" s="1590"/>
      <c r="D3" s="1590"/>
      <c r="E3" s="2389"/>
      <c r="F3" s="2388">
        <v>1</v>
      </c>
      <c r="G3" s="1590"/>
      <c r="H3" s="1590"/>
      <c r="I3" s="1590"/>
      <c r="J3" s="1590"/>
      <c r="K3" s="1590"/>
      <c r="L3" s="1591"/>
      <c r="M3" s="1592"/>
      <c r="N3" s="1592"/>
      <c r="O3" s="1592"/>
      <c r="P3" s="1559"/>
      <c r="Q3" s="574"/>
      <c r="R3" s="575"/>
      <c r="S3" s="1563">
        <f>INDEX(PT_DIFFERENTIATION_NUM_TER,MATCH(B3,PT_DIFFERENTIATION_TER_ID,0))</f>
      </c>
      <c r="T3" s="530" t="s">
        <v>503</v>
      </c>
      <c r="U3" s="522"/>
      <c r="V3" s="2382"/>
      <c r="W3" s="2383"/>
      <c r="X3" s="2383"/>
      <c r="Y3" s="2383"/>
      <c r="Z3" s="2383"/>
      <c r="AA3" s="2383"/>
      <c r="AB3" s="2383"/>
      <c r="AC3" s="2384"/>
      <c r="AD3" s="2382">
        <f>INDEX(PT_DIFFERENTIATION_TER,MATCH(B3,PT_DIFFERENTIATION_TER_ID,0))</f>
      </c>
      <c r="AE3" s="2383"/>
      <c r="AF3" s="2383"/>
      <c r="AG3" s="2383"/>
      <c r="AH3" s="2383"/>
      <c r="AI3" s="2383"/>
      <c r="AJ3" s="2383"/>
      <c r="AK3" s="2383"/>
      <c r="AL3" s="2384"/>
      <c r="AM3" s="1484" t="s">
        <v>504</v>
      </c>
      <c r="AO3" s="722"/>
      <c r="AP3" s="722" t="str">
        <f>IF(T3="","",T3)</f>
        <v>Территория действия тарифа</v>
      </c>
      <c r="AQ3" s="722"/>
      <c r="AR3" s="722"/>
    </row>
    <row customHeight="1" ht="23.25" hidden="1">
      <c r="A4" s="1590"/>
      <c r="B4" s="1590"/>
      <c r="C4" s="1590"/>
      <c r="D4" s="1590"/>
      <c r="E4" s="2389"/>
      <c r="F4" s="2389"/>
      <c r="G4" s="2388">
        <v>1</v>
      </c>
      <c r="H4" s="1590"/>
      <c r="I4" s="1590"/>
      <c r="J4" s="1590"/>
      <c r="K4" s="1590"/>
      <c r="L4" s="1591"/>
      <c r="M4" s="1592"/>
      <c r="N4" s="1592"/>
      <c r="O4" s="1592"/>
      <c r="P4" s="576"/>
      <c r="Q4" s="574"/>
      <c r="R4" s="575"/>
      <c r="S4" s="1563">
        <f>INDEX(PT_DIFFERENTIATION_NUM_CS,MATCH(C4,PT_DIFFERENTIATION_CS_ID,0))</f>
      </c>
      <c r="T4" s="531" t="s">
        <v>505</v>
      </c>
      <c r="U4" s="522"/>
      <c r="V4" s="2382"/>
      <c r="W4" s="2383"/>
      <c r="X4" s="2383"/>
      <c r="Y4" s="2383"/>
      <c r="Z4" s="2383"/>
      <c r="AA4" s="2383"/>
      <c r="AB4" s="2383"/>
      <c r="AC4" s="2384"/>
      <c r="AD4" s="2382">
        <f>INDEX(PT_DIFFERENTIATION_CS,MATCH(C4,PT_DIFFERENTIATION_CS_ID,0))</f>
      </c>
      <c r="AE4" s="2383"/>
      <c r="AF4" s="2383"/>
      <c r="AG4" s="2383"/>
      <c r="AH4" s="2383"/>
      <c r="AI4" s="2383"/>
      <c r="AJ4" s="2383"/>
      <c r="AK4" s="2383"/>
      <c r="AL4" s="2384"/>
      <c r="AM4" s="1484" t="s">
        <v>506</v>
      </c>
      <c r="AO4" s="722"/>
      <c r="AP4" s="722" t="str">
        <f>IF(T4="","",T4)</f>
        <v>Наименование системы теплоснабжения </v>
      </c>
      <c r="AQ4" s="722"/>
      <c r="AR4" s="722"/>
    </row>
    <row customHeight="1" ht="21" hidden="1">
      <c r="A5" s="1590"/>
      <c r="B5" s="1590"/>
      <c r="C5" s="1590"/>
      <c r="D5" s="1590"/>
      <c r="E5" s="2389"/>
      <c r="F5" s="2389"/>
      <c r="G5" s="2389"/>
      <c r="H5" s="2388">
        <v>1</v>
      </c>
      <c r="I5" s="1590"/>
      <c r="J5" s="1590"/>
      <c r="K5" s="1590"/>
      <c r="L5" s="1591"/>
      <c r="M5" s="1592"/>
      <c r="N5" s="1592"/>
      <c r="O5" s="1592"/>
      <c r="P5" s="576"/>
      <c r="Q5" s="574"/>
      <c r="R5" s="575"/>
      <c r="S5" s="1563">
        <f>INDEX(PT_DIFFERENTIATION_NUM_IST_TE,MATCH(D5,PT_DIFFERENTIATION_IST_TE_ID,0))</f>
      </c>
      <c r="T5" s="532" t="s">
        <v>507</v>
      </c>
      <c r="U5" s="522"/>
      <c r="V5" s="2382"/>
      <c r="W5" s="2383"/>
      <c r="X5" s="2383"/>
      <c r="Y5" s="2383"/>
      <c r="Z5" s="2383"/>
      <c r="AA5" s="2383"/>
      <c r="AB5" s="2383"/>
      <c r="AC5" s="2384"/>
      <c r="AD5" s="2382">
        <f>INDEX(PT_DIFFERENTIATION_IST_TE,MATCH(D5,PT_DIFFERENTIATION_IST_TE_ID,0))</f>
      </c>
      <c r="AE5" s="2383"/>
      <c r="AF5" s="2383"/>
      <c r="AG5" s="2383"/>
      <c r="AH5" s="2383"/>
      <c r="AI5" s="2383"/>
      <c r="AJ5" s="2383"/>
      <c r="AK5" s="2383"/>
      <c r="AL5" s="2384"/>
      <c r="AM5" s="1484" t="s">
        <v>508</v>
      </c>
      <c r="AO5" s="722"/>
      <c r="AP5" s="722" t="str">
        <f>IF(T5="","",T5)</f>
        <v>Источник тепловой энергии  </v>
      </c>
      <c r="AQ5" s="722"/>
      <c r="AR5" s="722"/>
    </row>
    <row customHeight="1" ht="14.25" hidden="1">
      <c r="A6" s="1590"/>
      <c r="B6" s="1590"/>
      <c r="C6" s="1590"/>
      <c r="D6" s="1590"/>
      <c r="E6" s="2389"/>
      <c r="F6" s="2389"/>
      <c r="G6" s="2389"/>
      <c r="H6" s="2389"/>
      <c r="I6" s="2390">
        <f>S5&amp;".1"</f>
      </c>
      <c r="J6" s="1590"/>
      <c r="K6" s="1590"/>
      <c r="L6" s="1591" t="s">
        <v>509</v>
      </c>
      <c r="M6" s="759"/>
      <c r="P6" s="2392">
        <v>1</v>
      </c>
      <c r="Q6" s="1558"/>
      <c r="R6" s="578"/>
      <c r="S6" s="1265"/>
      <c r="T6" s="1610"/>
      <c r="U6" s="1611"/>
      <c r="V6" s="2430"/>
      <c r="W6" s="2431"/>
      <c r="X6" s="2431"/>
      <c r="Y6" s="2431"/>
      <c r="Z6" s="2431"/>
      <c r="AA6" s="2431"/>
      <c r="AB6" s="2431"/>
      <c r="AC6" s="2432"/>
      <c r="AD6" s="2430"/>
      <c r="AE6" s="2431"/>
      <c r="AF6" s="2431"/>
      <c r="AG6" s="2431"/>
      <c r="AH6" s="2431"/>
      <c r="AI6" s="2431"/>
      <c r="AJ6" s="2431"/>
      <c r="AK6" s="2431"/>
      <c r="AL6" s="2432"/>
      <c r="AM6" s="1612"/>
      <c r="AO6" s="722"/>
      <c r="AP6" s="722" t="str">
        <f>IF(T6="","",T6)</f>
        <v/>
      </c>
      <c r="AQ6" s="722"/>
      <c r="AR6" s="722"/>
    </row>
    <row customHeight="1" ht="21" hidden="1">
      <c r="A7" s="1590"/>
      <c r="B7" s="1590"/>
      <c r="C7" s="1590"/>
      <c r="D7" s="1590"/>
      <c r="E7" s="2389"/>
      <c r="F7" s="2389"/>
      <c r="G7" s="2389"/>
      <c r="H7" s="2389"/>
      <c r="I7" s="2391"/>
      <c r="J7" s="2390">
        <f>I6&amp;".1"</f>
      </c>
      <c r="K7" s="1590"/>
      <c r="L7" s="1591" t="s">
        <v>512</v>
      </c>
      <c r="M7" s="759"/>
      <c r="N7" s="1593"/>
      <c r="P7" s="2392"/>
      <c r="Q7" s="2392">
        <v>1</v>
      </c>
      <c r="R7" s="579"/>
      <c r="S7" s="1563">
        <f>$J7</f>
      </c>
      <c r="T7" s="508" t="s">
        <v>513</v>
      </c>
      <c r="U7" s="522"/>
      <c r="V7" s="2376"/>
      <c r="W7" s="2377"/>
      <c r="X7" s="2377"/>
      <c r="Y7" s="2377"/>
      <c r="Z7" s="2377"/>
      <c r="AA7" s="2377"/>
      <c r="AB7" s="2377"/>
      <c r="AC7" s="2378"/>
      <c r="AD7" s="2376"/>
      <c r="AE7" s="2377"/>
      <c r="AF7" s="2377"/>
      <c r="AG7" s="2377"/>
      <c r="AH7" s="2377"/>
      <c r="AI7" s="2377"/>
      <c r="AJ7" s="2377"/>
      <c r="AK7" s="2377"/>
      <c r="AL7" s="2378"/>
      <c r="AM7" s="1484" t="s">
        <v>514</v>
      </c>
      <c r="AO7" s="722"/>
      <c r="AP7" s="722" t="str">
        <f>IF(T7="","",T7)</f>
        <v>Группа потребителей</v>
      </c>
      <c r="AQ7" s="722"/>
      <c r="AR7" s="722"/>
    </row>
    <row customHeight="1" ht="21" hidden="1">
      <c r="A8" s="1590"/>
      <c r="B8" s="1590"/>
      <c r="C8" s="1590"/>
      <c r="D8" s="1590"/>
      <c r="E8" s="2389"/>
      <c r="F8" s="2389"/>
      <c r="G8" s="2389"/>
      <c r="H8" s="2389"/>
      <c r="I8" s="2391"/>
      <c r="J8" s="2391"/>
      <c r="K8" s="2390">
        <f>J7&amp;".1"</f>
      </c>
      <c r="L8" s="1591" t="s">
        <v>515</v>
      </c>
      <c r="M8" s="759"/>
      <c r="N8" s="1593"/>
      <c r="O8" s="1593"/>
      <c r="P8" s="2392"/>
      <c r="Q8" s="2392"/>
      <c r="R8" s="579">
        <v>1</v>
      </c>
      <c r="S8" s="1563">
        <f>$K8</f>
      </c>
      <c r="T8" s="1574"/>
      <c r="U8" s="522"/>
      <c r="V8" s="973"/>
      <c r="W8" s="547"/>
      <c r="X8" s="973"/>
      <c r="Y8" s="1483"/>
      <c r="Z8" s="2393"/>
      <c r="AA8" s="2263" t="s">
        <v>63</v>
      </c>
      <c r="AB8" s="2393"/>
      <c r="AC8" s="2263" t="s">
        <v>63</v>
      </c>
      <c r="AD8" s="973"/>
      <c r="AE8" s="547"/>
      <c r="AF8" s="973"/>
      <c r="AG8" s="1483"/>
      <c r="AH8" s="2393"/>
      <c r="AI8" s="2263" t="s">
        <v>63</v>
      </c>
      <c r="AJ8" s="2393"/>
      <c r="AK8" s="2263" t="s">
        <v>63</v>
      </c>
      <c r="AL8" s="547"/>
      <c r="AM8" s="2418" t="s">
        <v>516</v>
      </c>
      <c r="AN8" s="733">
        <f>STRCHECKDATE(V9:AL9)</f>
      </c>
      <c r="AO8" s="722"/>
      <c r="AP8" s="722" t="str">
        <f>IF(T8="","",T8)</f>
        <v/>
      </c>
      <c r="AQ8" s="722"/>
      <c r="AR8" s="722"/>
    </row>
    <row customHeight="1" ht="14.25" hidden="1">
      <c r="A9" s="1590"/>
      <c r="B9" s="1590"/>
      <c r="C9" s="1590"/>
      <c r="D9" s="1590"/>
      <c r="E9" s="2389"/>
      <c r="F9" s="2389"/>
      <c r="G9" s="2389"/>
      <c r="H9" s="2389"/>
      <c r="I9" s="2391"/>
      <c r="J9" s="2391"/>
      <c r="K9" s="2390"/>
      <c r="L9" s="1591"/>
      <c r="M9" s="759"/>
      <c r="N9" s="1593"/>
      <c r="O9" s="1593"/>
      <c r="P9" s="2392"/>
      <c r="Q9" s="2392"/>
      <c r="R9" s="579"/>
      <c r="S9" s="1569"/>
      <c r="T9" s="522"/>
      <c r="U9" s="522"/>
      <c r="V9" s="547"/>
      <c r="W9" s="547"/>
      <c r="X9" s="547"/>
      <c r="Y9" s="550" t="str">
        <f>Z8&amp;"-"&amp;AB8</f>
        <v>-</v>
      </c>
      <c r="Z9" s="2394"/>
      <c r="AA9" s="2263"/>
      <c r="AB9" s="2394"/>
      <c r="AC9" s="2263"/>
      <c r="AD9" s="547"/>
      <c r="AE9" s="547"/>
      <c r="AF9" s="547"/>
      <c r="AG9" s="550" t="str">
        <f>AH8&amp;"-"&amp;AJ8</f>
        <v>-</v>
      </c>
      <c r="AH9" s="2394"/>
      <c r="AI9" s="2263"/>
      <c r="AJ9" s="2394"/>
      <c r="AK9" s="2263"/>
      <c r="AL9" s="547"/>
      <c r="AM9" s="2419"/>
      <c r="AO9" s="722"/>
      <c r="AP9" s="722" t="str">
        <f>IF(T9="","",T9)</f>
        <v/>
      </c>
      <c r="AQ9" s="722"/>
      <c r="AR9" s="722"/>
    </row>
    <row customHeight="1" ht="15" hidden="1">
      <c r="A10" s="1590"/>
      <c r="B10" s="1590"/>
      <c r="C10" s="1590"/>
      <c r="D10" s="1590"/>
      <c r="E10" s="2389"/>
      <c r="F10" s="2389"/>
      <c r="G10" s="2389"/>
      <c r="H10" s="2389"/>
      <c r="I10" s="2391"/>
      <c r="J10" s="2390"/>
      <c r="K10" s="1590"/>
      <c r="L10" s="1591"/>
      <c r="M10" s="759"/>
      <c r="N10" s="1593"/>
      <c r="P10" s="2392"/>
      <c r="Q10" s="2392"/>
      <c r="R10" s="578"/>
      <c r="S10" s="1505"/>
      <c r="T10" s="509" t="s">
        <v>517</v>
      </c>
      <c r="U10" s="589"/>
      <c r="V10" s="589"/>
      <c r="W10" s="589"/>
      <c r="X10" s="589"/>
      <c r="Y10" s="589"/>
      <c r="Z10" s="589"/>
      <c r="AA10" s="589"/>
      <c r="AB10" s="589"/>
      <c r="AC10" s="589"/>
      <c r="AD10" s="589"/>
      <c r="AE10" s="589"/>
      <c r="AF10" s="589"/>
      <c r="AG10" s="589"/>
      <c r="AH10" s="589"/>
      <c r="AI10" s="589"/>
      <c r="AJ10" s="589"/>
      <c r="AK10" s="589"/>
      <c r="AL10" s="546"/>
      <c r="AM10" s="2420"/>
      <c r="AO10" s="722"/>
      <c r="AP10" s="722" t="str">
        <f>IF(T10="","",T10)</f>
        <v>Добавить вид теплоносителя (параметры теплоносителя)</v>
      </c>
      <c r="AQ10" s="722"/>
      <c r="AR10" s="722"/>
    </row>
    <row customHeight="1" ht="11.25" hidden="1">
      <c r="A11" s="1590"/>
      <c r="B11" s="1590"/>
      <c r="C11" s="1590"/>
      <c r="D11" s="1590"/>
      <c r="E11" s="2389"/>
      <c r="F11" s="2389"/>
      <c r="G11" s="2389"/>
      <c r="H11" s="2389"/>
      <c r="I11" s="2390"/>
      <c r="J11" s="1590"/>
      <c r="K11" s="1590"/>
      <c r="L11" s="1591"/>
      <c r="M11" s="759"/>
      <c r="P11" s="2392"/>
      <c r="Q11" s="1558"/>
      <c r="R11" s="578"/>
      <c r="S11" s="1505"/>
      <c r="T11" s="587" t="s">
        <v>518</v>
      </c>
      <c r="U11" s="589"/>
      <c r="V11" s="589"/>
      <c r="W11" s="589"/>
      <c r="X11" s="589"/>
      <c r="Y11" s="589"/>
      <c r="Z11" s="589"/>
      <c r="AA11" s="589"/>
      <c r="AB11" s="589"/>
      <c r="AC11" s="588"/>
      <c r="AD11" s="589"/>
      <c r="AE11" s="589"/>
      <c r="AF11" s="589"/>
      <c r="AG11" s="589"/>
      <c r="AH11" s="589"/>
      <c r="AI11" s="589"/>
      <c r="AJ11" s="589"/>
      <c r="AK11" s="588"/>
      <c r="AL11" s="589"/>
      <c r="AM11" s="525"/>
      <c r="AO11" s="722"/>
      <c r="AP11" s="722" t="str">
        <f>IF(T11="","",T11)</f>
        <v>Добавить группу потребителей</v>
      </c>
      <c r="AQ11" s="722"/>
      <c r="AR11" s="722"/>
    </row>
    <row customHeight="1" ht="14.25" hidden="1">
      <c r="A12" s="1590"/>
      <c r="B12" s="1590"/>
      <c r="C12" s="1590"/>
      <c r="D12" s="1590"/>
      <c r="E12" s="2389"/>
      <c r="F12" s="2389"/>
      <c r="G12" s="2389"/>
      <c r="H12" s="2388"/>
      <c r="I12" s="1590"/>
      <c r="J12" s="1590"/>
      <c r="K12" s="1590"/>
      <c r="L12" s="1591"/>
      <c r="M12" s="1592"/>
      <c r="N12" s="1592"/>
      <c r="O12" s="759"/>
      <c r="P12" s="582"/>
      <c r="Q12" s="597"/>
      <c r="R12" s="577"/>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2"/>
      <c r="AP12" s="722" t="str">
        <f>IF(T12="","",T12)</f>
        <v/>
      </c>
      <c r="AQ12" s="722"/>
      <c r="AR12" s="722"/>
    </row>
    <row s="16531" customFormat="1" customHeight="1" ht="14.25" hidden="1">
      <c r="A13" s="1541"/>
      <c r="B13" s="1541"/>
      <c r="C13" s="1541"/>
      <c r="D13" s="1541"/>
      <c r="E13" s="2389"/>
      <c r="F13" s="2389"/>
      <c r="G13" s="2388"/>
      <c r="H13" s="1541"/>
      <c r="I13" s="1541"/>
      <c r="J13" s="1541"/>
      <c r="K13" s="1541"/>
      <c r="L13" s="1566"/>
      <c r="M13" s="1542"/>
      <c r="N13" s="1542"/>
      <c r="P13" s="1543"/>
      <c r="Q13" s="1544"/>
      <c r="R13" s="1543"/>
      <c r="S13" s="1545"/>
      <c r="T13" s="1546" t="s">
        <v>520</v>
      </c>
      <c r="U13" s="1547"/>
      <c r="V13" s="1547"/>
      <c r="W13" s="1547"/>
      <c r="X13" s="1547"/>
      <c r="Y13" s="1547"/>
      <c r="Z13" s="1547"/>
      <c r="AA13" s="1547"/>
      <c r="AB13" s="1547"/>
      <c r="AC13" s="1547"/>
      <c r="AD13" s="1547"/>
      <c r="AE13" s="1547"/>
      <c r="AF13" s="1547"/>
      <c r="AG13" s="1547"/>
      <c r="AH13" s="1547"/>
      <c r="AI13" s="1547"/>
      <c r="AJ13" s="1547"/>
      <c r="AK13" s="1547"/>
      <c r="AL13" s="1547"/>
      <c r="AM13" s="1547"/>
      <c r="AO13" s="1011"/>
      <c r="AP13" s="1011" t="str">
        <f>IF(T13="","",T13)</f>
        <v>Добавить источник для дифференциации</v>
      </c>
      <c r="AQ13" s="1011"/>
      <c r="AR13" s="1011"/>
    </row>
    <row s="16531" customFormat="1" customHeight="1" ht="14.25" hidden="1">
      <c r="A14" s="1541"/>
      <c r="B14" s="1541"/>
      <c r="C14" s="1541"/>
      <c r="D14" s="1541"/>
      <c r="E14" s="2389"/>
      <c r="F14" s="2388"/>
      <c r="G14" s="1541"/>
      <c r="H14" s="1541"/>
      <c r="I14" s="1541"/>
      <c r="J14" s="1541"/>
      <c r="K14" s="1541"/>
      <c r="L14" s="1566"/>
      <c r="M14" s="1548"/>
      <c r="N14" s="1548"/>
      <c r="P14" s="1543"/>
      <c r="Q14" s="1544"/>
      <c r="R14" s="1543"/>
      <c r="S14" s="1549"/>
      <c r="T14" s="1550" t="s">
        <v>305</v>
      </c>
      <c r="U14" s="1551"/>
      <c r="V14" s="1551"/>
      <c r="W14" s="1551"/>
      <c r="X14" s="1551"/>
      <c r="Y14" s="1551"/>
      <c r="Z14" s="1551"/>
      <c r="AA14" s="1551"/>
      <c r="AB14" s="1551"/>
      <c r="AC14" s="1551"/>
      <c r="AD14" s="1551"/>
      <c r="AE14" s="1551"/>
      <c r="AF14" s="1551"/>
      <c r="AG14" s="1551"/>
      <c r="AH14" s="1551"/>
      <c r="AI14" s="1551"/>
      <c r="AJ14" s="1551"/>
      <c r="AK14" s="1551"/>
      <c r="AL14" s="1551"/>
      <c r="AM14" s="1551"/>
      <c r="AO14" s="1011"/>
      <c r="AP14" s="1011" t="str">
        <f>IF(T14="","",T14)</f>
        <v>Добавить централизованную систему для дифференциации</v>
      </c>
      <c r="AQ14" s="1011"/>
      <c r="AR14" s="1011"/>
    </row>
    <row s="16531" customFormat="1" customHeight="1" ht="14.25" hidden="1">
      <c r="A15" s="1541"/>
      <c r="B15" s="1541"/>
      <c r="C15" s="1541"/>
      <c r="D15" s="1541"/>
      <c r="E15" s="2388"/>
      <c r="F15" s="1541"/>
      <c r="G15" s="1541"/>
      <c r="H15" s="1541"/>
      <c r="I15" s="1541"/>
      <c r="J15" s="1541"/>
      <c r="K15" s="1541"/>
      <c r="L15" s="1566"/>
      <c r="M15" s="1548"/>
      <c r="N15" s="1548"/>
      <c r="P15" s="1543"/>
      <c r="Q15" s="1544"/>
      <c r="R15" s="1543"/>
      <c r="S15" s="1549"/>
      <c r="T15" s="1552" t="s">
        <v>358</v>
      </c>
      <c r="U15" s="1551"/>
      <c r="V15" s="1551"/>
      <c r="W15" s="1551"/>
      <c r="X15" s="1551"/>
      <c r="Y15" s="1551"/>
      <c r="Z15" s="1551"/>
      <c r="AA15" s="1551"/>
      <c r="AB15" s="1551"/>
      <c r="AC15" s="1551"/>
      <c r="AD15" s="1551"/>
      <c r="AE15" s="1551"/>
      <c r="AF15" s="1551"/>
      <c r="AG15" s="1551"/>
      <c r="AH15" s="1551"/>
      <c r="AI15" s="1551"/>
      <c r="AJ15" s="1551"/>
      <c r="AK15" s="1551"/>
      <c r="AL15" s="1551"/>
      <c r="AM15" s="1551"/>
      <c r="AO15" s="1011"/>
      <c r="AP15" s="1011" t="str">
        <f>IF(T15="","",T15)</f>
        <v>Добавить территорию для дифференциации</v>
      </c>
      <c r="AQ15" s="1011"/>
      <c r="AR15" s="1011"/>
    </row>
    <row customHeight="1" ht="14.25" hidden="1">
      <c r="AC16" s="549"/>
      <c r="AK16" s="549"/>
    </row>
    <row customHeight="1" ht="14.25" hidden="1">
      <c r="AD17" s="1587"/>
      <c r="AE17" s="1587"/>
      <c r="AF17" s="1587"/>
      <c r="AG17" s="1588"/>
      <c r="AH17" s="2386"/>
      <c r="AI17" s="2385" t="s">
        <v>63</v>
      </c>
      <c r="AJ17" s="2386"/>
      <c r="AK17" s="2385" t="s">
        <v>63</v>
      </c>
    </row>
    <row customHeight="1" ht="14.25" hidden="1">
      <c r="AD18" s="1587"/>
      <c r="AE18" s="1587"/>
      <c r="AF18" s="1587"/>
      <c r="AG18" s="550" t="str">
        <f>AH17&amp;"-"&amp;AJ17</f>
        <v>-</v>
      </c>
      <c r="AH18" s="2385"/>
      <c r="AI18" s="2385"/>
      <c r="AJ18" s="2385"/>
      <c r="AK18" s="2385"/>
    </row>
    <row customHeight="1" ht="14.25" hidden="1">
      <c r="AK19" s="549"/>
    </row>
    <row s="16550" customFormat="1" customHeight="1" ht="22.5" hidden="1">
      <c r="L20" s="1556"/>
      <c r="M20" s="1589"/>
      <c r="N20" s="1589"/>
      <c r="O20" s="1594" t="s">
        <v>521</v>
      </c>
      <c r="P20" s="1589"/>
      <c r="Q20" s="1598"/>
      <c r="R20" s="1598"/>
      <c r="S20" s="951"/>
      <c r="Z20" s="1594"/>
      <c r="AB20" s="1594"/>
      <c r="AC20" s="1593"/>
      <c r="AH20" s="1594"/>
      <c r="AJ20" s="1594"/>
      <c r="AK20" s="1593"/>
      <c r="AN20" s="733"/>
      <c r="AO20" s="733"/>
      <c r="AP20" s="733"/>
      <c r="AQ20" s="733"/>
      <c r="AR20" s="733"/>
    </row>
    <row s="16550" customFormat="1" customHeight="1" ht="14.25" hidden="1">
      <c r="L21" s="1556"/>
      <c r="M21" s="1589"/>
      <c r="N21" s="1589"/>
      <c r="O21" s="1589"/>
      <c r="P21" s="1589"/>
      <c r="Q21" s="1598"/>
      <c r="R21" s="1598"/>
      <c r="S21" s="951"/>
      <c r="AC21" s="1593"/>
      <c r="AK21" s="1593"/>
      <c r="AN21" s="733"/>
      <c r="AO21" s="733"/>
      <c r="AP21" s="733"/>
      <c r="AQ21" s="733"/>
      <c r="AR21" s="733"/>
    </row>
    <row s="16550" customFormat="1" customHeight="1" ht="14.25" hidden="1">
      <c r="L22" s="1556"/>
      <c r="M22" s="1589"/>
      <c r="N22" s="1589"/>
      <c r="O22" s="1591" t="s">
        <v>522</v>
      </c>
      <c r="P22" s="1589"/>
      <c r="Q22" s="1598"/>
      <c r="R22" s="1598"/>
      <c r="S22" s="951"/>
      <c r="T22" s="1384" t="s">
        <v>523</v>
      </c>
      <c r="AA22" s="408" t="s">
        <v>524</v>
      </c>
      <c r="AC22" s="408" t="s">
        <v>525</v>
      </c>
      <c r="AD22" s="1384" t="s">
        <v>523</v>
      </c>
      <c r="AI22" s="408" t="s">
        <v>526</v>
      </c>
      <c r="AK22" s="408" t="s">
        <v>525</v>
      </c>
      <c r="AN22" s="733"/>
      <c r="AO22" s="733"/>
      <c r="AP22" s="733"/>
      <c r="AQ22" s="733"/>
      <c r="AR22" s="733"/>
    </row>
    <row customHeight="1" ht="14.25" hidden="1">
      <c r="O23" s="1591"/>
    </row>
    <row customHeight="1" ht="14.25" hidden="1">
      <c r="O24" s="1591"/>
    </row>
    <row customHeight="1" ht="14.25">
      <c r="Q25" s="598"/>
      <c r="R25" s="598"/>
      <c r="S25" s="1502"/>
      <c r="T25" s="585"/>
      <c r="U25" s="585"/>
      <c r="V25" s="731"/>
      <c r="W25" s="731"/>
      <c r="X25" s="731"/>
      <c r="Y25" s="731"/>
      <c r="Z25" s="731"/>
      <c r="AA25" s="731"/>
      <c r="AB25" s="731"/>
      <c r="AC25" s="731"/>
      <c r="AD25" s="731"/>
      <c r="AE25" s="731"/>
      <c r="AF25" s="731"/>
      <c r="AG25" s="731"/>
      <c r="AH25" s="731"/>
      <c r="AI25" s="731"/>
      <c r="AJ25" s="731"/>
      <c r="AK25" s="731"/>
    </row>
    <row customHeight="1" ht="51.75">
      <c r="Q26" s="598"/>
      <c r="R26" s="598"/>
      <c r="S26" s="24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34"/>
      <c r="U26" s="2434"/>
      <c r="V26" s="2434"/>
      <c r="W26" s="2434"/>
      <c r="X26" s="2434"/>
      <c r="Y26" s="2434"/>
      <c r="Z26" s="2434"/>
      <c r="AA26" s="2434"/>
      <c r="AB26" s="2434"/>
      <c r="AC26" s="2434"/>
      <c r="AD26" s="2434"/>
      <c r="AE26" s="2434"/>
      <c r="AF26" s="2434"/>
      <c r="AG26" s="2434"/>
      <c r="AH26" s="2434"/>
      <c r="AI26" s="2434"/>
      <c r="AJ26" s="2434"/>
      <c r="AK26" s="1469"/>
    </row>
    <row customHeight="1" ht="14.25">
      <c r="Q27" s="598"/>
      <c r="R27" s="598"/>
      <c r="S27" s="2422" t="str">
        <f>IF(org=0,"Не определено",org)</f>
        <v>КГУП "Примтеплоэнерго"</v>
      </c>
      <c r="T27" s="2422"/>
      <c r="U27" s="2422"/>
      <c r="V27" s="2422"/>
      <c r="W27" s="2422"/>
      <c r="X27" s="2422"/>
      <c r="Y27" s="2422"/>
      <c r="Z27" s="2422"/>
      <c r="AA27" s="2422"/>
      <c r="AB27" s="2422"/>
      <c r="AC27" s="2422"/>
      <c r="AD27" s="2422"/>
      <c r="AE27" s="2422"/>
      <c r="AF27" s="2422"/>
      <c r="AG27" s="2422"/>
      <c r="AH27" s="2422"/>
      <c r="AI27" s="2422"/>
      <c r="AJ27" s="2422"/>
      <c r="AK27" s="1469"/>
    </row>
    <row customHeight="1" ht="14.25" hidden="1">
      <c r="Q28" s="598"/>
      <c r="R28" s="598"/>
      <c r="S28" s="1502"/>
      <c r="T28" s="585"/>
      <c r="U28" s="585"/>
      <c r="V28" s="544"/>
      <c r="W28" s="544"/>
      <c r="X28" s="544"/>
      <c r="Y28" s="544"/>
      <c r="Z28" s="544"/>
      <c r="AA28" s="544"/>
      <c r="AB28" s="544"/>
      <c r="AC28" s="544"/>
      <c r="AD28" s="544"/>
      <c r="AE28" s="544"/>
      <c r="AF28" s="544"/>
      <c r="AG28" s="544"/>
      <c r="AH28" s="544"/>
      <c r="AI28" s="544"/>
      <c r="AJ28" s="544"/>
      <c r="AK28" s="544"/>
      <c r="AL28" s="731"/>
    </row>
    <row s="16563" customFormat="1" customHeight="1" ht="25.5" hidden="1">
      <c r="A29" s="1595"/>
      <c r="B29" s="1595"/>
      <c r="C29" s="1595"/>
      <c r="D29" s="1595"/>
      <c r="E29" s="1595"/>
      <c r="F29" s="1595"/>
      <c r="G29" s="1595"/>
      <c r="H29" s="1595"/>
      <c r="I29" s="1595"/>
      <c r="J29" s="1595"/>
      <c r="K29" s="1595"/>
      <c r="L29" s="1596"/>
      <c r="M29" s="1595"/>
      <c r="N29" s="1595"/>
      <c r="O29" s="1595"/>
      <c r="S29" s="2379" t="s">
        <v>38</v>
      </c>
      <c r="T29" s="2379"/>
      <c r="U29" s="1599"/>
      <c r="V29" s="2381" t="str">
        <f>IF(TITLE_NAME_OR_PR_CHANGE="",IF(TITLE_NAME_OR_PR="","",TITLE_NAME_OR_PR),TITLE_NAME_OR_PR_CHANGE)</f>
        <v/>
      </c>
      <c r="W29" s="2381"/>
      <c r="X29" s="2381"/>
      <c r="Y29" s="2381"/>
      <c r="Z29" s="2381"/>
      <c r="AA29" s="2381"/>
      <c r="AB29" s="2381"/>
      <c r="AC29" s="548"/>
      <c r="AD29" s="2381" t="str">
        <f>IF(TITLE_NAME_OR_PR_CHANGE="",IF(TITLE_NAME_OR_PR="","",TITLE_NAME_OR_PR),TITLE_NAME_OR_PR_CHANGE)</f>
        <v/>
      </c>
      <c r="AE29" s="2381"/>
      <c r="AF29" s="2381"/>
      <c r="AG29" s="2381"/>
      <c r="AH29" s="2381"/>
      <c r="AI29" s="2381"/>
      <c r="AJ29" s="2381"/>
      <c r="AK29" s="548"/>
      <c r="AL29" s="548"/>
      <c r="AM29" s="502"/>
      <c r="AN29" s="590"/>
      <c r="AO29" s="590"/>
      <c r="AP29" s="590"/>
      <c r="AQ29" s="590"/>
      <c r="AR29" s="590"/>
    </row>
    <row s="16563" customFormat="1" customHeight="1" ht="18.75" hidden="1">
      <c r="A30" s="1595"/>
      <c r="B30" s="1595"/>
      <c r="C30" s="1595"/>
      <c r="D30" s="1595"/>
      <c r="E30" s="1595"/>
      <c r="F30" s="1595"/>
      <c r="G30" s="1595"/>
      <c r="H30" s="1595"/>
      <c r="I30" s="1595"/>
      <c r="J30" s="1595"/>
      <c r="K30" s="1595"/>
      <c r="L30" s="1596"/>
      <c r="M30" s="1595"/>
      <c r="N30" s="1595"/>
      <c r="O30" s="1595"/>
      <c r="S30" s="2379" t="s">
        <v>527</v>
      </c>
      <c r="T30" s="2379"/>
      <c r="U30" s="1599"/>
      <c r="V30" s="2380" t="str">
        <f>IF(TITLE_DATE_PR_CHANGE="",IF(TITLE_DATE_PR="","",TITLE_DATE_PR),TITLE_DATE_PR_CHANGE)</f>
        <v>45407.47206018519</v>
      </c>
      <c r="W30" s="2380"/>
      <c r="X30" s="2380"/>
      <c r="Y30" s="2380"/>
      <c r="Z30" s="2380"/>
      <c r="AA30" s="2380"/>
      <c r="AB30" s="2380"/>
      <c r="AC30" s="548"/>
      <c r="AD30" s="2380" t="str">
        <f>IF(TITLE_DATE_PR_CHANGE="",IF(TITLE_DATE_PR="","",TITLE_DATE_PR),TITLE_DATE_PR_CHANGE)</f>
        <v>45407.47206018519</v>
      </c>
      <c r="AE30" s="2380"/>
      <c r="AF30" s="2380"/>
      <c r="AG30" s="2380"/>
      <c r="AH30" s="2380"/>
      <c r="AI30" s="2380"/>
      <c r="AJ30" s="2380"/>
      <c r="AK30" s="548"/>
      <c r="AL30" s="548"/>
      <c r="AM30" s="502"/>
      <c r="AN30" s="590"/>
      <c r="AO30" s="590"/>
      <c r="AP30" s="590"/>
      <c r="AQ30" s="590"/>
      <c r="AR30" s="590"/>
    </row>
    <row s="16563" customFormat="1" customHeight="1" ht="18.75" hidden="1">
      <c r="A31" s="1595"/>
      <c r="B31" s="1595"/>
      <c r="C31" s="1595"/>
      <c r="D31" s="1595"/>
      <c r="E31" s="1595"/>
      <c r="F31" s="1595"/>
      <c r="G31" s="1595"/>
      <c r="H31" s="1595"/>
      <c r="I31" s="1595"/>
      <c r="J31" s="1595"/>
      <c r="K31" s="1595"/>
      <c r="L31" s="1596"/>
      <c r="M31" s="1595"/>
      <c r="N31" s="1595"/>
      <c r="O31" s="1595"/>
      <c r="S31" s="2379" t="s">
        <v>528</v>
      </c>
      <c r="T31" s="2379"/>
      <c r="U31" s="1599"/>
      <c r="V31" s="2381" t="str">
        <f>IF(TITLE_NUMBER_PR_CHANGE="",IF(TITLE_NUMBER_PR="","",TITLE_NUMBER_PR),TITLE_NUMBER_PR_CHANGE)</f>
        <v>27-2067</v>
      </c>
      <c r="W31" s="2381"/>
      <c r="X31" s="2381"/>
      <c r="Y31" s="2381"/>
      <c r="Z31" s="2381"/>
      <c r="AA31" s="2381"/>
      <c r="AB31" s="2381"/>
      <c r="AC31" s="548"/>
      <c r="AD31" s="2381" t="str">
        <f>IF(TITLE_NUMBER_PR_CHANGE="",IF(TITLE_NUMBER_PR="","",TITLE_NUMBER_PR),TITLE_NUMBER_PR_CHANGE)</f>
        <v>27-2067</v>
      </c>
      <c r="AE31" s="2381"/>
      <c r="AF31" s="2381"/>
      <c r="AG31" s="2381"/>
      <c r="AH31" s="2381"/>
      <c r="AI31" s="2381"/>
      <c r="AJ31" s="2381"/>
      <c r="AK31" s="548"/>
      <c r="AL31" s="548"/>
      <c r="AM31" s="502"/>
      <c r="AN31" s="590"/>
      <c r="AO31" s="590"/>
      <c r="AP31" s="590"/>
      <c r="AQ31" s="590"/>
      <c r="AR31" s="590"/>
    </row>
    <row s="16563" customFormat="1" customHeight="1" ht="18.75" hidden="1">
      <c r="A32" s="1595"/>
      <c r="B32" s="1595"/>
      <c r="C32" s="1595"/>
      <c r="D32" s="1595"/>
      <c r="E32" s="1595"/>
      <c r="F32" s="1595"/>
      <c r="G32" s="1595"/>
      <c r="H32" s="1595"/>
      <c r="I32" s="1595"/>
      <c r="J32" s="1595"/>
      <c r="K32" s="1595"/>
      <c r="L32" s="1596"/>
      <c r="M32" s="1595"/>
      <c r="N32" s="1595"/>
      <c r="O32" s="1595"/>
      <c r="S32" s="2379" t="s">
        <v>39</v>
      </c>
      <c r="T32" s="2379"/>
      <c r="U32" s="1599"/>
      <c r="V32" s="2381" t="str">
        <f>IF(TITLE_IST_PUB_CHANGE="",IF(TITLE_IST_PUB="","",TITLE_IST_PUB),TITLE_IST_PUB_CHANGE)</f>
        <v/>
      </c>
      <c r="W32" s="2381"/>
      <c r="X32" s="2381"/>
      <c r="Y32" s="2381"/>
      <c r="Z32" s="2381"/>
      <c r="AA32" s="2381"/>
      <c r="AB32" s="2381"/>
      <c r="AC32" s="548"/>
      <c r="AD32" s="2381" t="str">
        <f>IF(TITLE_IST_PUB_CHANGE="",IF(TITLE_IST_PUB="","",TITLE_IST_PUB),TITLE_IST_PUB_CHANGE)</f>
        <v/>
      </c>
      <c r="AE32" s="2381"/>
      <c r="AF32" s="2381"/>
      <c r="AG32" s="2381"/>
      <c r="AH32" s="2381"/>
      <c r="AI32" s="2381"/>
      <c r="AJ32" s="2381"/>
      <c r="AK32" s="548"/>
      <c r="AL32" s="548"/>
      <c r="AM32" s="502"/>
      <c r="AN32" s="590"/>
      <c r="AO32" s="590"/>
      <c r="AP32" s="590"/>
      <c r="AQ32" s="590"/>
      <c r="AR32" s="590"/>
    </row>
    <row customHeight="1" ht="14.25">
      <c r="Q33" s="598"/>
      <c r="R33" s="598"/>
      <c r="S33" s="1502"/>
      <c r="T33" s="585"/>
      <c r="U33" s="585"/>
      <c r="V33" s="544"/>
      <c r="W33" s="544"/>
      <c r="X33" s="544"/>
      <c r="Y33" s="544"/>
      <c r="Z33" s="544"/>
      <c r="AA33" s="544"/>
      <c r="AB33" s="544"/>
      <c r="AC33" s="544"/>
      <c r="AD33" s="544"/>
      <c r="AE33" s="544"/>
      <c r="AF33" s="544"/>
      <c r="AG33" s="544"/>
      <c r="AH33" s="544"/>
      <c r="AI33" s="544"/>
      <c r="AJ33" s="544"/>
      <c r="AK33" s="544"/>
      <c r="AL33" s="731"/>
    </row>
    <row s="16563" customFormat="1" customHeight="1" ht="18.75">
      <c r="A34" s="1595"/>
      <c r="B34" s="1595"/>
      <c r="C34" s="1595"/>
      <c r="D34" s="1595"/>
      <c r="E34" s="1595"/>
      <c r="F34" s="1595"/>
      <c r="G34" s="1595"/>
      <c r="H34" s="1595"/>
      <c r="I34" s="1595"/>
      <c r="J34" s="1595"/>
      <c r="K34" s="1595"/>
      <c r="L34" s="1596"/>
      <c r="M34" s="1595"/>
      <c r="N34" s="1595"/>
      <c r="O34" s="1595"/>
      <c r="S34" s="2379" t="s">
        <v>529</v>
      </c>
      <c r="T34" s="2379"/>
      <c r="U34" s="1599"/>
      <c r="V34" s="2380" t="str">
        <f>IF(TITLE_DATE_PR_CHANGE="",IF(TITLE_DATE_PR="","",TITLE_DATE_PR),TITLE_DATE_PR_CHANGE)</f>
        <v>45407.47206018519</v>
      </c>
      <c r="W34" s="2380"/>
      <c r="X34" s="2380"/>
      <c r="Y34" s="2380"/>
      <c r="Z34" s="2380"/>
      <c r="AA34" s="2380"/>
      <c r="AB34" s="2380"/>
      <c r="AC34" s="548"/>
      <c r="AD34" s="2380" t="str">
        <f>IF(TITLE_DATE_PR_CHANGE="",IF(TITLE_DATE_PR="","",TITLE_DATE_PR),TITLE_DATE_PR_CHANGE)</f>
        <v>45407.47206018519</v>
      </c>
      <c r="AE34" s="2380"/>
      <c r="AF34" s="2380"/>
      <c r="AG34" s="2380"/>
      <c r="AH34" s="2380"/>
      <c r="AI34" s="2380"/>
      <c r="AJ34" s="2380"/>
      <c r="AK34" s="548"/>
      <c r="AL34" s="548"/>
      <c r="AM34" s="502"/>
      <c r="AN34" s="590"/>
      <c r="AO34" s="590"/>
      <c r="AP34" s="590"/>
      <c r="AQ34" s="590"/>
      <c r="AR34" s="590"/>
    </row>
    <row s="16563" customFormat="1" customHeight="1" ht="18.75">
      <c r="A35" s="1595"/>
      <c r="B35" s="1595"/>
      <c r="C35" s="1595"/>
      <c r="D35" s="1595"/>
      <c r="E35" s="1595"/>
      <c r="F35" s="1595"/>
      <c r="G35" s="1595"/>
      <c r="H35" s="1595"/>
      <c r="I35" s="1595"/>
      <c r="J35" s="1595"/>
      <c r="K35" s="1595"/>
      <c r="L35" s="1596"/>
      <c r="M35" s="1595"/>
      <c r="N35" s="1595"/>
      <c r="O35" s="1595"/>
      <c r="S35" s="2379" t="s">
        <v>530</v>
      </c>
      <c r="T35" s="2379"/>
      <c r="U35" s="1599"/>
      <c r="V35" s="2381" t="str">
        <f>IF(TITLE_NUMBER_PR_CHANGE="",IF(TITLE_NUMBER_PR="","",TITLE_NUMBER_PR),TITLE_NUMBER_PR_CHANGE)</f>
        <v>27-2067</v>
      </c>
      <c r="W35" s="2381"/>
      <c r="X35" s="2381"/>
      <c r="Y35" s="2381"/>
      <c r="Z35" s="2381"/>
      <c r="AA35" s="2381"/>
      <c r="AB35" s="2381"/>
      <c r="AC35" s="548"/>
      <c r="AD35" s="2381" t="str">
        <f>IF(TITLE_NUMBER_PR_CHANGE="",IF(TITLE_NUMBER_PR="","",TITLE_NUMBER_PR),TITLE_NUMBER_PR_CHANGE)</f>
        <v>27-2067</v>
      </c>
      <c r="AE35" s="2381"/>
      <c r="AF35" s="2381"/>
      <c r="AG35" s="2381"/>
      <c r="AH35" s="2381"/>
      <c r="AI35" s="2381"/>
      <c r="AJ35" s="2381"/>
      <c r="AK35" s="548"/>
      <c r="AL35" s="548"/>
      <c r="AM35" s="502"/>
      <c r="AN35" s="590"/>
      <c r="AO35" s="590"/>
      <c r="AP35" s="590"/>
      <c r="AQ35" s="590"/>
      <c r="AR35" s="590"/>
    </row>
    <row s="16563" customFormat="1" customHeight="1" ht="0">
      <c r="A36" s="1595"/>
      <c r="B36" s="1595"/>
      <c r="C36" s="1595"/>
      <c r="D36" s="1595"/>
      <c r="E36" s="1595"/>
      <c r="F36" s="1595"/>
      <c r="G36" s="1595"/>
      <c r="H36" s="1595"/>
      <c r="I36" s="1595"/>
      <c r="J36" s="1595"/>
      <c r="K36" s="1595"/>
      <c r="L36" s="1596"/>
      <c r="M36" s="1595"/>
      <c r="N36" s="1595"/>
      <c r="O36" s="1595"/>
      <c r="S36" s="545"/>
      <c r="T36" s="545"/>
      <c r="U36" s="1567"/>
      <c r="V36" s="548"/>
      <c r="W36" s="548"/>
      <c r="X36" s="548"/>
      <c r="Y36" s="548"/>
      <c r="Z36" s="548"/>
      <c r="AA36" s="548"/>
      <c r="AB36" s="548"/>
      <c r="AC36" s="500" t="s">
        <v>531</v>
      </c>
      <c r="AD36" s="548"/>
      <c r="AE36" s="548"/>
      <c r="AF36" s="548"/>
      <c r="AG36" s="548"/>
      <c r="AH36" s="548"/>
      <c r="AI36" s="548"/>
      <c r="AJ36" s="548"/>
      <c r="AK36" s="500" t="s">
        <v>531</v>
      </c>
      <c r="AN36" s="590"/>
      <c r="AO36" s="590"/>
      <c r="AP36" s="590"/>
      <c r="AQ36" s="590"/>
      <c r="AR36" s="590"/>
    </row>
    <row customHeight="1" ht="14.25">
      <c r="Q37" s="598"/>
      <c r="R37" s="598"/>
      <c r="S37" s="1502"/>
      <c r="T37" s="585"/>
      <c r="U37" s="1470"/>
      <c r="V37" s="2405"/>
      <c r="W37" s="2405"/>
      <c r="X37" s="2405"/>
      <c r="Y37" s="2405"/>
      <c r="Z37" s="2405"/>
      <c r="AA37" s="2405"/>
      <c r="AB37" s="2405"/>
      <c r="AC37" s="2405"/>
      <c r="AD37" s="2405"/>
      <c r="AE37" s="2405"/>
      <c r="AF37" s="2405"/>
      <c r="AG37" s="2405"/>
      <c r="AH37" s="2405"/>
      <c r="AI37" s="2405"/>
      <c r="AJ37" s="2405"/>
      <c r="AK37" s="2405"/>
    </row>
    <row customHeight="1" ht="14.25">
      <c r="Q38" s="598"/>
      <c r="R38" s="598"/>
      <c r="S38" s="2253" t="s">
        <v>406</v>
      </c>
      <c r="T38" s="2253"/>
      <c r="U38" s="2253"/>
      <c r="V38" s="2253"/>
      <c r="W38" s="2253"/>
      <c r="X38" s="2253"/>
      <c r="Y38" s="2253"/>
      <c r="Z38" s="2253"/>
      <c r="AA38" s="2253"/>
      <c r="AB38" s="2253"/>
      <c r="AC38" s="2253"/>
      <c r="AD38" s="2253"/>
      <c r="AE38" s="2253"/>
      <c r="AF38" s="2253"/>
      <c r="AG38" s="2253"/>
      <c r="AH38" s="2253"/>
      <c r="AI38" s="2253"/>
      <c r="AJ38" s="2253"/>
      <c r="AK38" s="2253"/>
      <c r="AL38" s="2253"/>
      <c r="AM38" s="2253" t="s">
        <v>407</v>
      </c>
    </row>
    <row customHeight="1" ht="14.25">
      <c r="Q39" s="598"/>
      <c r="R39" s="598"/>
      <c r="S39" s="2406" t="s">
        <v>84</v>
      </c>
      <c r="T39" s="2343" t="s">
        <v>532</v>
      </c>
      <c r="U39" s="523"/>
      <c r="V39" s="2407" t="s">
        <v>533</v>
      </c>
      <c r="W39" s="2408"/>
      <c r="X39" s="2408"/>
      <c r="Y39" s="2408"/>
      <c r="Z39" s="2408"/>
      <c r="AA39" s="2408"/>
      <c r="AB39" s="2409"/>
      <c r="AC39" s="2410" t="s">
        <v>534</v>
      </c>
      <c r="AD39" s="2407" t="s">
        <v>533</v>
      </c>
      <c r="AE39" s="2408"/>
      <c r="AF39" s="2408"/>
      <c r="AG39" s="2408"/>
      <c r="AH39" s="2408"/>
      <c r="AI39" s="2408"/>
      <c r="AJ39" s="2409"/>
      <c r="AK39" s="2410" t="s">
        <v>535</v>
      </c>
      <c r="AL39" s="2413" t="s">
        <v>536</v>
      </c>
      <c r="AM39" s="2253"/>
    </row>
    <row customHeight="1" ht="33.75">
      <c r="Q40" s="598"/>
      <c r="R40" s="598"/>
      <c r="S40" s="2406"/>
      <c r="T40" s="2343"/>
      <c r="U40" s="1254"/>
      <c r="V40" s="2416" t="s">
        <v>537</v>
      </c>
      <c r="W40" s="2397"/>
      <c r="X40" s="2399" t="s">
        <v>539</v>
      </c>
      <c r="Y40" s="2401"/>
      <c r="Z40" s="2399" t="s">
        <v>540</v>
      </c>
      <c r="AA40" s="2400"/>
      <c r="AB40" s="2401"/>
      <c r="AC40" s="2411"/>
      <c r="AD40" s="2416" t="s">
        <v>553</v>
      </c>
      <c r="AE40" s="2397"/>
      <c r="AF40" s="2399" t="s">
        <v>539</v>
      </c>
      <c r="AG40" s="2401"/>
      <c r="AH40" s="2399" t="s">
        <v>540</v>
      </c>
      <c r="AI40" s="2400"/>
      <c r="AJ40" s="2401"/>
      <c r="AK40" s="2411"/>
      <c r="AL40" s="2414"/>
      <c r="AM40" s="2253"/>
    </row>
    <row customHeight="1" ht="33.75">
      <c r="A41" s="1597"/>
      <c r="B41" s="1597" t="s">
        <v>191</v>
      </c>
      <c r="C41" s="1597" t="s">
        <v>192</v>
      </c>
      <c r="D41" s="1597" t="s">
        <v>193</v>
      </c>
      <c r="E41" s="1591" t="s">
        <v>541</v>
      </c>
      <c r="F41" s="1591" t="s">
        <v>542</v>
      </c>
      <c r="G41" s="1591" t="s">
        <v>543</v>
      </c>
      <c r="H41" s="1591" t="s">
        <v>544</v>
      </c>
      <c r="I41" s="1591" t="s">
        <v>545</v>
      </c>
      <c r="J41" s="1591" t="s">
        <v>546</v>
      </c>
      <c r="K41" s="1591" t="s">
        <v>547</v>
      </c>
      <c r="L41" s="1591" t="s">
        <v>522</v>
      </c>
      <c r="Q41" s="598"/>
      <c r="R41" s="598"/>
      <c r="S41" s="2406"/>
      <c r="T41" s="2343"/>
      <c r="U41" s="524"/>
      <c r="V41" s="2417"/>
      <c r="W41" s="2398"/>
      <c r="X41" s="1448" t="s">
        <v>548</v>
      </c>
      <c r="Y41" s="1448" t="s">
        <v>549</v>
      </c>
      <c r="Z41" s="1565" t="s">
        <v>550</v>
      </c>
      <c r="AA41" s="2402" t="s">
        <v>551</v>
      </c>
      <c r="AB41" s="2403"/>
      <c r="AC41" s="2412"/>
      <c r="AD41" s="2417"/>
      <c r="AE41" s="2398"/>
      <c r="AF41" s="1448" t="s">
        <v>548</v>
      </c>
      <c r="AG41" s="1448" t="s">
        <v>549</v>
      </c>
      <c r="AH41" s="1565" t="s">
        <v>550</v>
      </c>
      <c r="AI41" s="2402" t="s">
        <v>551</v>
      </c>
      <c r="AJ41" s="2403"/>
      <c r="AK41" s="2412"/>
      <c r="AL41" s="2415"/>
      <c r="AM41" s="2253"/>
    </row>
    <row s="16382" customFormat="1" customHeight="1" ht="11.25" hidden="1">
      <c r="A42" s="1597"/>
      <c r="B42" s="1597"/>
      <c r="C42" s="1597"/>
      <c r="D42" s="1597"/>
      <c r="E42" s="1597"/>
      <c r="F42" s="1597"/>
      <c r="G42" s="1597"/>
      <c r="H42" s="1597"/>
      <c r="I42" s="1597"/>
      <c r="J42" s="1597"/>
      <c r="K42" s="1597"/>
      <c r="L42" s="1591"/>
      <c r="M42" s="1589"/>
      <c r="N42" s="1589"/>
      <c r="O42" s="1589"/>
      <c r="P42" s="1472"/>
      <c r="Q42" s="1473"/>
      <c r="R42" s="1480">
        <v>1</v>
      </c>
      <c r="S42" s="1504" t="s">
        <v>168</v>
      </c>
      <c r="T42" s="1481" t="s">
        <v>99</v>
      </c>
      <c r="U42" s="1471" t="str">
        <f>OFFSET(U42,0,-1)</f>
        <v>2</v>
      </c>
      <c r="V42" s="1562">
        <f>OFFSET(V42,0,-1)+1</f>
        <v>3</v>
      </c>
      <c r="W42" s="1562"/>
      <c r="X42" s="1562">
        <f>OFFSET(X42,0,-1)+1</f>
        <v>1</v>
      </c>
      <c r="Y42" s="1562">
        <f>OFFSET(Y42,0,-1)+1</f>
        <v>2</v>
      </c>
      <c r="Z42" s="1562">
        <f>OFFSET(Z42,0,-1)+1</f>
        <v>3</v>
      </c>
      <c r="AA42" s="2404">
        <f>OFFSET(AA42,0,-1)+1</f>
        <v>4</v>
      </c>
      <c r="AB42" s="2404"/>
      <c r="AC42" s="1562">
        <f>OFFSET(AC42,0,-2)+1</f>
        <v>5</v>
      </c>
      <c r="AD42" s="1562">
        <f>OFFSET(AD42,0,-1)+1</f>
        <v>6</v>
      </c>
      <c r="AE42" s="1562"/>
      <c r="AF42" s="1562">
        <f>OFFSET(AF42,0,-1)+1</f>
        <v>1</v>
      </c>
      <c r="AG42" s="1562">
        <f>OFFSET(AG42,0,-1)+1</f>
        <v>2</v>
      </c>
      <c r="AH42" s="1562">
        <f>OFFSET(AH42,0,-1)+1</f>
        <v>3</v>
      </c>
      <c r="AI42" s="2404">
        <f>OFFSET(AI42,0,-1)+1</f>
        <v>4</v>
      </c>
      <c r="AJ42" s="2404"/>
      <c r="AK42" s="1562">
        <f>OFFSET(AK42,0,-2)+1</f>
        <v>5</v>
      </c>
      <c r="AL42" s="1471">
        <f>OFFSET(AL42,0,-1)</f>
        <v>5</v>
      </c>
      <c r="AM42" s="1562">
        <f>OFFSET(AM42,0,-1)+1</f>
        <v>6</v>
      </c>
      <c r="AN42" s="733"/>
      <c r="AO42" s="733"/>
      <c r="AP42" s="733"/>
      <c r="AQ42" s="733"/>
      <c r="AR42" s="733"/>
    </row>
    <row customHeight="1" ht="21">
      <c r="A43" s="1590" t="s">
        <v>230</v>
      </c>
      <c r="B43" s="1590"/>
      <c r="C43" s="1590"/>
      <c r="D43" s="1590"/>
      <c r="E43" s="2388">
        <v>1</v>
      </c>
      <c r="F43" s="1590"/>
      <c r="G43" s="1590"/>
      <c r="H43" s="1590"/>
      <c r="I43" s="1590"/>
      <c r="J43" s="1590"/>
      <c r="K43" s="1590"/>
      <c r="L43" s="1591"/>
      <c r="M43" s="1592"/>
      <c r="N43" s="1592"/>
      <c r="O43" s="1592"/>
      <c r="P43" s="583"/>
      <c r="Q43" s="582"/>
      <c r="R43" s="577"/>
      <c r="S43" s="1563">
        <f>INDEX(PT_DIFFERENTIATION_NUM_NTAR,MATCH(A43,PT_DIFFERENTIATION_NTAR_ID,0))</f>
        <v>0</v>
      </c>
      <c r="T43" s="520" t="s">
        <v>179</v>
      </c>
      <c r="U43" s="522"/>
      <c r="V43" s="2382"/>
      <c r="W43" s="2383"/>
      <c r="X43" s="2383"/>
      <c r="Y43" s="2383"/>
      <c r="Z43" s="2383"/>
      <c r="AA43" s="2383"/>
      <c r="AB43" s="2383"/>
      <c r="AC43" s="2384"/>
      <c r="AD43" s="2382" t="str">
        <f>INDEX(PT_DIFFERENTIATION_NTAR,MATCH(A43,PT_DIFFERENTIATION_NTAR_ID,0))</f>
        <v/>
      </c>
      <c r="AE43" s="2383"/>
      <c r="AF43" s="2383"/>
      <c r="AG43" s="2383"/>
      <c r="AH43" s="2383"/>
      <c r="AI43" s="2383"/>
      <c r="AJ43" s="2383"/>
      <c r="AK43" s="2383"/>
      <c r="AL43" s="2384"/>
      <c r="AM43" s="14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2"/>
      <c r="AP43" s="722" t="str">
        <f>IF(T43="","",T43)</f>
        <v>Наименование тарифа</v>
      </c>
      <c r="AQ43" s="722"/>
      <c r="AR43" s="722"/>
    </row>
    <row customHeight="1" ht="21">
      <c r="A44" s="1590" t="s">
        <v>230</v>
      </c>
      <c r="B44" s="1590" t="s">
        <v>231</v>
      </c>
      <c r="C44" s="1590"/>
      <c r="D44" s="1590"/>
      <c r="E44" s="2389"/>
      <c r="F44" s="2388">
        <v>1</v>
      </c>
      <c r="G44" s="1590"/>
      <c r="H44" s="1590"/>
      <c r="I44" s="1590"/>
      <c r="J44" s="1590"/>
      <c r="K44" s="1590"/>
      <c r="L44" s="1591"/>
      <c r="M44" s="1592"/>
      <c r="N44" s="1592"/>
      <c r="O44" s="1592"/>
      <c r="P44" s="1559"/>
      <c r="Q44" s="574"/>
      <c r="R44" s="575"/>
      <c r="S44" s="1563" t="str">
        <f>INDEX(PT_DIFFERENTIATION_NUM_TER,MATCH(B44,PT_DIFFERENTIATION_TER_ID,0))</f>
        <v>.</v>
      </c>
      <c r="T44" s="530" t="s">
        <v>503</v>
      </c>
      <c r="U44" s="522"/>
      <c r="V44" s="2382"/>
      <c r="W44" s="2383"/>
      <c r="X44" s="2383"/>
      <c r="Y44" s="2383"/>
      <c r="Z44" s="2383"/>
      <c r="AA44" s="2383"/>
      <c r="AB44" s="2383"/>
      <c r="AC44" s="2384"/>
      <c r="AD44" s="2382" t="str">
        <f>INDEX(PT_DIFFERENTIATION_TER,MATCH(B44,PT_DIFFERENTIATION_TER_ID,0))</f>
        <v/>
      </c>
      <c r="AE44" s="2383"/>
      <c r="AF44" s="2383"/>
      <c r="AG44" s="2383"/>
      <c r="AH44" s="2383"/>
      <c r="AI44" s="2383"/>
      <c r="AJ44" s="2383"/>
      <c r="AK44" s="2383"/>
      <c r="AL44" s="2384"/>
      <c r="AM44" s="1484" t="s">
        <v>504</v>
      </c>
      <c r="AO44" s="722"/>
      <c r="AP44" s="722" t="str">
        <f>IF(T44="","",T44)</f>
        <v>Территория действия тарифа</v>
      </c>
      <c r="AQ44" s="722"/>
      <c r="AR44" s="722"/>
    </row>
    <row customHeight="1" ht="23.25">
      <c r="A45" s="1590" t="s">
        <v>230</v>
      </c>
      <c r="B45" s="1590" t="s">
        <v>231</v>
      </c>
      <c r="C45" s="1590" t="s">
        <v>232</v>
      </c>
      <c r="D45" s="1590"/>
      <c r="E45" s="2389"/>
      <c r="F45" s="2389"/>
      <c r="G45" s="2388">
        <v>1</v>
      </c>
      <c r="H45" s="1590"/>
      <c r="I45" s="1590"/>
      <c r="J45" s="1590"/>
      <c r="K45" s="1590"/>
      <c r="L45" s="1591"/>
      <c r="M45" s="1592"/>
      <c r="N45" s="1592"/>
      <c r="O45" s="1592"/>
      <c r="P45" s="576"/>
      <c r="Q45" s="574"/>
      <c r="R45" s="575"/>
      <c r="S45" s="1563" t="str">
        <f>INDEX(PT_DIFFERENTIATION_NUM_CS,MATCH(C45,PT_DIFFERENTIATION_CS_ID,0))</f>
        <v>..</v>
      </c>
      <c r="T45" s="531" t="s">
        <v>505</v>
      </c>
      <c r="U45" s="522"/>
      <c r="V45" s="2382"/>
      <c r="W45" s="2383"/>
      <c r="X45" s="2383"/>
      <c r="Y45" s="2383"/>
      <c r="Z45" s="2383"/>
      <c r="AA45" s="2383"/>
      <c r="AB45" s="2383"/>
      <c r="AC45" s="2384"/>
      <c r="AD45" s="2382" t="str">
        <f>INDEX(PT_DIFFERENTIATION_CS,MATCH(C45,PT_DIFFERENTIATION_CS_ID,0))</f>
        <v/>
      </c>
      <c r="AE45" s="2383"/>
      <c r="AF45" s="2383"/>
      <c r="AG45" s="2383"/>
      <c r="AH45" s="2383"/>
      <c r="AI45" s="2383"/>
      <c r="AJ45" s="2383"/>
      <c r="AK45" s="2383"/>
      <c r="AL45" s="2384"/>
      <c r="AM45" s="1484" t="s">
        <v>506</v>
      </c>
      <c r="AO45" s="722"/>
      <c r="AP45" s="722" t="str">
        <f>IF(T45="","",T45)</f>
        <v>Наименование системы теплоснабжения </v>
      </c>
      <c r="AQ45" s="722"/>
      <c r="AR45" s="722"/>
    </row>
    <row customHeight="1" ht="21">
      <c r="A46" s="1590" t="s">
        <v>230</v>
      </c>
      <c r="B46" s="1590" t="s">
        <v>231</v>
      </c>
      <c r="C46" s="1590" t="s">
        <v>232</v>
      </c>
      <c r="D46" s="1590" t="s">
        <v>233</v>
      </c>
      <c r="E46" s="2389"/>
      <c r="F46" s="2389"/>
      <c r="G46" s="2389"/>
      <c r="H46" s="2388">
        <v>1</v>
      </c>
      <c r="I46" s="1590"/>
      <c r="J46" s="1590"/>
      <c r="K46" s="1590"/>
      <c r="L46" s="1591"/>
      <c r="M46" s="1592"/>
      <c r="N46" s="1592"/>
      <c r="O46" s="1592"/>
      <c r="P46" s="576"/>
      <c r="Q46" s="574"/>
      <c r="R46" s="575"/>
      <c r="S46" s="1563" t="str">
        <f>INDEX(PT_DIFFERENTIATION_NUM_IST_TE,MATCH(D46,PT_DIFFERENTIATION_IST_TE_ID,0))</f>
        <v>...</v>
      </c>
      <c r="T46" s="532" t="s">
        <v>507</v>
      </c>
      <c r="U46" s="522"/>
      <c r="V46" s="2382"/>
      <c r="W46" s="2383"/>
      <c r="X46" s="2383"/>
      <c r="Y46" s="2383"/>
      <c r="Z46" s="2383"/>
      <c r="AA46" s="2383"/>
      <c r="AB46" s="2383"/>
      <c r="AC46" s="2384"/>
      <c r="AD46" s="2382" t="str">
        <f>INDEX(PT_DIFFERENTIATION_IST_TE,MATCH(D46,PT_DIFFERENTIATION_IST_TE_ID,0))</f>
        <v/>
      </c>
      <c r="AE46" s="2383"/>
      <c r="AF46" s="2383"/>
      <c r="AG46" s="2383"/>
      <c r="AH46" s="2383"/>
      <c r="AI46" s="2383"/>
      <c r="AJ46" s="2383"/>
      <c r="AK46" s="2383"/>
      <c r="AL46" s="2384"/>
      <c r="AM46" s="1484" t="s">
        <v>508</v>
      </c>
      <c r="AO46" s="722"/>
      <c r="AP46" s="722" t="str">
        <f>IF(T46="","",T46)</f>
        <v>Источник тепловой энергии  </v>
      </c>
      <c r="AQ46" s="722"/>
      <c r="AR46" s="722"/>
    </row>
    <row s="16622" customFormat="1" customHeight="1" ht="0">
      <c r="A47" s="1570" t="s">
        <v>230</v>
      </c>
      <c r="B47" s="1570" t="s">
        <v>231</v>
      </c>
      <c r="C47" s="1570" t="s">
        <v>232</v>
      </c>
      <c r="D47" s="1570" t="s">
        <v>233</v>
      </c>
      <c r="E47" s="2389"/>
      <c r="F47" s="2389"/>
      <c r="G47" s="2389"/>
      <c r="H47" s="2389"/>
      <c r="I47" s="2390" t="str">
        <f>S46&amp;".1"</f>
        <v>....1</v>
      </c>
      <c r="J47" s="1570"/>
      <c r="K47" s="1570"/>
      <c r="L47" s="1573" t="s">
        <v>509</v>
      </c>
      <c r="M47" s="732"/>
      <c r="N47" s="732"/>
      <c r="O47" s="732"/>
      <c r="P47" s="2392">
        <v>1</v>
      </c>
      <c r="Q47" s="1558"/>
      <c r="R47" s="578"/>
      <c r="S47" s="1265"/>
      <c r="T47" s="1610"/>
      <c r="U47" s="1611"/>
      <c r="V47" s="2430"/>
      <c r="W47" s="2431"/>
      <c r="X47" s="2431"/>
      <c r="Y47" s="2431"/>
      <c r="Z47" s="2431"/>
      <c r="AA47" s="2431"/>
      <c r="AB47" s="2431"/>
      <c r="AC47" s="2432"/>
      <c r="AD47" s="2430"/>
      <c r="AE47" s="2431"/>
      <c r="AF47" s="2431"/>
      <c r="AG47" s="2431"/>
      <c r="AH47" s="2431"/>
      <c r="AI47" s="2431"/>
      <c r="AJ47" s="2431"/>
      <c r="AK47" s="2431"/>
      <c r="AL47" s="2432"/>
      <c r="AM47" s="1612"/>
      <c r="AO47" s="722"/>
      <c r="AP47" s="722" t="str">
        <f>IF(T47="","",T47)</f>
        <v/>
      </c>
      <c r="AQ47" s="722"/>
      <c r="AR47" s="722"/>
    </row>
    <row customHeight="1" ht="21">
      <c r="A48" s="1590" t="s">
        <v>230</v>
      </c>
      <c r="B48" s="1590" t="s">
        <v>231</v>
      </c>
      <c r="C48" s="1590" t="s">
        <v>232</v>
      </c>
      <c r="D48" s="1590" t="s">
        <v>233</v>
      </c>
      <c r="E48" s="2389"/>
      <c r="F48" s="2389"/>
      <c r="G48" s="2389"/>
      <c r="H48" s="2389"/>
      <c r="I48" s="2391"/>
      <c r="J48" s="2390" t="str">
        <f>S46&amp;".1"</f>
        <v>....1</v>
      </c>
      <c r="K48" s="1590"/>
      <c r="L48" s="1591" t="s">
        <v>512</v>
      </c>
      <c r="P48" s="2392"/>
      <c r="Q48" s="2392">
        <v>1</v>
      </c>
      <c r="R48" s="579"/>
      <c r="S48" s="1563" t="str">
        <f>$J48</f>
        <v>....1</v>
      </c>
      <c r="T48" s="508" t="s">
        <v>513</v>
      </c>
      <c r="U48" s="522"/>
      <c r="V48" s="2376"/>
      <c r="W48" s="2377"/>
      <c r="X48" s="2377"/>
      <c r="Y48" s="2377"/>
      <c r="Z48" s="2377"/>
      <c r="AA48" s="2377"/>
      <c r="AB48" s="2377"/>
      <c r="AC48" s="2378"/>
      <c r="AD48" s="2376"/>
      <c r="AE48" s="2377"/>
      <c r="AF48" s="2377"/>
      <c r="AG48" s="2377"/>
      <c r="AH48" s="2377"/>
      <c r="AI48" s="2377"/>
      <c r="AJ48" s="2377"/>
      <c r="AK48" s="2377"/>
      <c r="AL48" s="2378"/>
      <c r="AM48" s="1484" t="s">
        <v>514</v>
      </c>
      <c r="AO48" s="722"/>
      <c r="AP48" s="722" t="str">
        <f>IF(T48="","",T48)</f>
        <v>Группа потребителей</v>
      </c>
      <c r="AQ48" s="722"/>
      <c r="AR48" s="722"/>
    </row>
    <row customHeight="1" ht="21">
      <c r="A49" s="1590" t="s">
        <v>230</v>
      </c>
      <c r="B49" s="1590" t="s">
        <v>231</v>
      </c>
      <c r="C49" s="1590" t="s">
        <v>232</v>
      </c>
      <c r="D49" s="1590" t="s">
        <v>233</v>
      </c>
      <c r="E49" s="2389"/>
      <c r="F49" s="2389"/>
      <c r="G49" s="2389"/>
      <c r="H49" s="2389"/>
      <c r="I49" s="2391"/>
      <c r="J49" s="2391"/>
      <c r="K49" s="2390" t="str">
        <f>J48&amp;".1"</f>
        <v>....1.1</v>
      </c>
      <c r="L49" s="1591" t="s">
        <v>515</v>
      </c>
      <c r="P49" s="2392"/>
      <c r="Q49" s="2392"/>
      <c r="R49" s="579">
        <v>1</v>
      </c>
      <c r="S49" s="1563" t="str">
        <f>$K49</f>
        <v>....1.1</v>
      </c>
      <c r="T49" s="1574"/>
      <c r="U49" s="522"/>
      <c r="V49" s="973"/>
      <c r="W49" s="547"/>
      <c r="X49" s="973"/>
      <c r="Y49" s="1483"/>
      <c r="Z49" s="2393"/>
      <c r="AA49" s="2263" t="s">
        <v>63</v>
      </c>
      <c r="AB49" s="2393"/>
      <c r="AC49" s="2263" t="s">
        <v>63</v>
      </c>
      <c r="AD49" s="973"/>
      <c r="AE49" s="547"/>
      <c r="AF49" s="973"/>
      <c r="AG49" s="1483"/>
      <c r="AH49" s="2393"/>
      <c r="AI49" s="2263" t="s">
        <v>63</v>
      </c>
      <c r="AJ49" s="2395"/>
      <c r="AK49" s="2263" t="s">
        <v>63</v>
      </c>
      <c r="AL49" s="1575"/>
      <c r="AM49" s="2418" t="s">
        <v>554</v>
      </c>
      <c r="AN49" s="733">
        <f>STRCHECKDATE(V50:AL50)</f>
      </c>
      <c r="AO49" s="722"/>
      <c r="AP49" s="722" t="str">
        <f>IF(T49="","",T49)</f>
        <v/>
      </c>
      <c r="AQ49" s="722"/>
      <c r="AR49" s="722"/>
    </row>
    <row customHeight="1" ht="0.75">
      <c r="A50" s="1590" t="s">
        <v>230</v>
      </c>
      <c r="B50" s="1590" t="s">
        <v>231</v>
      </c>
      <c r="C50" s="1590" t="s">
        <v>232</v>
      </c>
      <c r="D50" s="1590" t="s">
        <v>233</v>
      </c>
      <c r="E50" s="2389"/>
      <c r="F50" s="2389"/>
      <c r="G50" s="2389"/>
      <c r="H50" s="2389"/>
      <c r="I50" s="2391"/>
      <c r="J50" s="2391"/>
      <c r="K50" s="2390"/>
      <c r="L50" s="1591"/>
      <c r="P50" s="2392"/>
      <c r="Q50" s="2392"/>
      <c r="R50" s="579"/>
      <c r="S50" s="1569"/>
      <c r="T50" s="522"/>
      <c r="U50" s="522"/>
      <c r="V50" s="547"/>
      <c r="W50" s="547"/>
      <c r="X50" s="547"/>
      <c r="Y50" s="550" t="str">
        <f>Z49&amp;"-"&amp;AB49</f>
        <v>-</v>
      </c>
      <c r="Z50" s="2394"/>
      <c r="AA50" s="2263"/>
      <c r="AB50" s="2394"/>
      <c r="AC50" s="2263"/>
      <c r="AD50" s="547"/>
      <c r="AE50" s="547"/>
      <c r="AF50" s="547"/>
      <c r="AG50" s="550" t="str">
        <f>AH49&amp;"-"&amp;AJ49</f>
        <v>-</v>
      </c>
      <c r="AH50" s="2394"/>
      <c r="AI50" s="2263"/>
      <c r="AJ50" s="2396"/>
      <c r="AK50" s="2263"/>
      <c r="AL50" s="1576"/>
      <c r="AM50" s="2419"/>
      <c r="AO50" s="722"/>
      <c r="AP50" s="722" t="str">
        <f>IF(T50="","",T50)</f>
        <v/>
      </c>
      <c r="AQ50" s="722"/>
      <c r="AR50" s="722"/>
    </row>
    <row customHeight="1" ht="11.25">
      <c r="A51" s="1590" t="s">
        <v>230</v>
      </c>
      <c r="B51" s="1590" t="s">
        <v>231</v>
      </c>
      <c r="C51" s="1590" t="s">
        <v>232</v>
      </c>
      <c r="D51" s="1590" t="s">
        <v>233</v>
      </c>
      <c r="E51" s="2389"/>
      <c r="F51" s="2389"/>
      <c r="G51" s="2389"/>
      <c r="H51" s="2389"/>
      <c r="I51" s="2391"/>
      <c r="J51" s="2390"/>
      <c r="K51" s="1590"/>
      <c r="L51" s="1591"/>
      <c r="P51" s="2392"/>
      <c r="Q51" s="2392"/>
      <c r="R51" s="578"/>
      <c r="S51" s="1505"/>
      <c r="T51" s="509" t="s">
        <v>517</v>
      </c>
      <c r="U51" s="589"/>
      <c r="V51" s="589"/>
      <c r="W51" s="589"/>
      <c r="X51" s="589"/>
      <c r="Y51" s="589"/>
      <c r="Z51" s="589"/>
      <c r="AA51" s="589"/>
      <c r="AB51" s="589"/>
      <c r="AC51" s="589"/>
      <c r="AD51" s="589"/>
      <c r="AE51" s="589"/>
      <c r="AF51" s="589"/>
      <c r="AG51" s="589"/>
      <c r="AH51" s="589"/>
      <c r="AI51" s="589"/>
      <c r="AJ51" s="589"/>
      <c r="AK51" s="589"/>
      <c r="AL51" s="546"/>
      <c r="AM51" s="2420"/>
      <c r="AO51" s="722"/>
      <c r="AP51" s="722" t="str">
        <f>IF(T51="","",T51)</f>
        <v>Добавить вид теплоносителя (параметры теплоносителя)</v>
      </c>
      <c r="AQ51" s="722"/>
      <c r="AR51" s="722"/>
    </row>
    <row customHeight="1" ht="11.25">
      <c r="A52" s="1590" t="s">
        <v>230</v>
      </c>
      <c r="B52" s="1590" t="s">
        <v>231</v>
      </c>
      <c r="C52" s="1590" t="s">
        <v>232</v>
      </c>
      <c r="D52" s="1590" t="s">
        <v>233</v>
      </c>
      <c r="E52" s="2389"/>
      <c r="F52" s="2389"/>
      <c r="G52" s="2389"/>
      <c r="H52" s="2389"/>
      <c r="I52" s="2390"/>
      <c r="J52" s="1590"/>
      <c r="K52" s="1590"/>
      <c r="L52" s="1591"/>
      <c r="P52" s="2392"/>
      <c r="Q52" s="1558"/>
      <c r="R52" s="578"/>
      <c r="S52" s="1505"/>
      <c r="T52" s="587" t="s">
        <v>518</v>
      </c>
      <c r="U52" s="589"/>
      <c r="V52" s="589"/>
      <c r="W52" s="589"/>
      <c r="X52" s="589"/>
      <c r="Y52" s="589"/>
      <c r="Z52" s="589"/>
      <c r="AA52" s="589"/>
      <c r="AB52" s="589"/>
      <c r="AC52" s="588"/>
      <c r="AD52" s="589"/>
      <c r="AE52" s="589"/>
      <c r="AF52" s="589"/>
      <c r="AG52" s="589"/>
      <c r="AH52" s="589"/>
      <c r="AI52" s="589"/>
      <c r="AJ52" s="589"/>
      <c r="AK52" s="588"/>
      <c r="AL52" s="589"/>
      <c r="AM52" s="525"/>
      <c r="AO52" s="722"/>
      <c r="AP52" s="722" t="str">
        <f>IF(T52="","",T52)</f>
        <v>Добавить группу потребителей</v>
      </c>
      <c r="AQ52" s="722"/>
      <c r="AR52" s="722"/>
    </row>
    <row customHeight="1" ht="0">
      <c r="A53" s="1590" t="s">
        <v>230</v>
      </c>
      <c r="B53" s="1590" t="s">
        <v>231</v>
      </c>
      <c r="C53" s="1590" t="s">
        <v>232</v>
      </c>
      <c r="D53" s="1590" t="s">
        <v>233</v>
      </c>
      <c r="E53" s="2389"/>
      <c r="F53" s="2389"/>
      <c r="G53" s="2389"/>
      <c r="H53" s="2388"/>
      <c r="I53" s="1590"/>
      <c r="J53" s="1590"/>
      <c r="K53" s="1590"/>
      <c r="L53" s="1591"/>
      <c r="M53" s="1592"/>
      <c r="N53" s="1592"/>
      <c r="O53" s="759"/>
      <c r="P53" s="582"/>
      <c r="Q53" s="597"/>
      <c r="R53" s="577"/>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2"/>
      <c r="AP53" s="722" t="str">
        <f>IF(T53="","",T53)</f>
        <v/>
      </c>
      <c r="AQ53" s="722"/>
      <c r="AR53" s="722"/>
    </row>
    <row s="16531" customFormat="1" customHeight="1" ht="0.75">
      <c r="A54" s="1570" t="s">
        <v>230</v>
      </c>
      <c r="B54" s="1570" t="s">
        <v>231</v>
      </c>
      <c r="C54" s="1570" t="s">
        <v>232</v>
      </c>
      <c r="D54" s="1541"/>
      <c r="E54" s="2389"/>
      <c r="F54" s="2389"/>
      <c r="G54" s="2388"/>
      <c r="H54" s="1541"/>
      <c r="I54" s="1541"/>
      <c r="J54" s="1541"/>
      <c r="K54" s="1541"/>
      <c r="L54" s="1566"/>
      <c r="M54" s="1542"/>
      <c r="N54" s="1542"/>
      <c r="P54" s="1543"/>
      <c r="Q54" s="1544"/>
      <c r="R54" s="1543"/>
      <c r="S54" s="1549"/>
      <c r="T54" s="1552" t="s">
        <v>520</v>
      </c>
      <c r="U54" s="1551"/>
      <c r="V54" s="1551"/>
      <c r="W54" s="1551"/>
      <c r="X54" s="1551"/>
      <c r="Y54" s="1551"/>
      <c r="Z54" s="1551"/>
      <c r="AA54" s="1551"/>
      <c r="AB54" s="1551"/>
      <c r="AC54" s="1551"/>
      <c r="AD54" s="1551"/>
      <c r="AE54" s="1551"/>
      <c r="AF54" s="1551"/>
      <c r="AG54" s="1551"/>
      <c r="AH54" s="1551"/>
      <c r="AI54" s="1551"/>
      <c r="AJ54" s="1551"/>
      <c r="AK54" s="1551"/>
      <c r="AL54" s="1551"/>
      <c r="AM54" s="1551"/>
      <c r="AO54" s="1011"/>
      <c r="AP54" s="1011" t="str">
        <f>IF(T54="","",T54)</f>
        <v>Добавить источник для дифференциации</v>
      </c>
      <c r="AQ54" s="1011"/>
      <c r="AR54" s="1011"/>
    </row>
    <row s="16531" customFormat="1" customHeight="1" ht="0.75">
      <c r="A55" s="1570" t="s">
        <v>230</v>
      </c>
      <c r="B55" s="1570" t="s">
        <v>231</v>
      </c>
      <c r="C55" s="1541"/>
      <c r="D55" s="1541"/>
      <c r="E55" s="2389"/>
      <c r="F55" s="2388"/>
      <c r="G55" s="1541"/>
      <c r="H55" s="1541"/>
      <c r="I55" s="1541"/>
      <c r="J55" s="1541"/>
      <c r="K55" s="1541"/>
      <c r="L55" s="1566"/>
      <c r="M55" s="1548"/>
      <c r="N55" s="1548"/>
      <c r="P55" s="1543"/>
      <c r="Q55" s="1544"/>
      <c r="R55" s="1543"/>
      <c r="S55" s="1549"/>
      <c r="T55" s="1552" t="s">
        <v>305</v>
      </c>
      <c r="U55" s="1551"/>
      <c r="V55" s="1551"/>
      <c r="W55" s="1551"/>
      <c r="X55" s="1551"/>
      <c r="Y55" s="1551"/>
      <c r="Z55" s="1551"/>
      <c r="AA55" s="1551"/>
      <c r="AB55" s="1551"/>
      <c r="AC55" s="1551"/>
      <c r="AD55" s="1551"/>
      <c r="AE55" s="1551"/>
      <c r="AF55" s="1551"/>
      <c r="AG55" s="1551"/>
      <c r="AH55" s="1551"/>
      <c r="AI55" s="1551"/>
      <c r="AJ55" s="1551"/>
      <c r="AK55" s="1551"/>
      <c r="AL55" s="1551"/>
      <c r="AM55" s="1551"/>
      <c r="AO55" s="1011"/>
      <c r="AP55" s="1011" t="str">
        <f>IF(T55="","",T55)</f>
        <v>Добавить централизованную систему для дифференциации</v>
      </c>
      <c r="AQ55" s="1011"/>
      <c r="AR55" s="1011"/>
    </row>
    <row s="16622" customFormat="1" customHeight="1" ht="0.75">
      <c r="A56" s="1570" t="s">
        <v>230</v>
      </c>
      <c r="B56" s="1570"/>
      <c r="C56" s="1570"/>
      <c r="D56" s="1570"/>
      <c r="E56" s="2388"/>
      <c r="F56" s="1570"/>
      <c r="G56" s="1570"/>
      <c r="H56" s="1570"/>
      <c r="I56" s="1570"/>
      <c r="J56" s="1570"/>
      <c r="K56" s="1570"/>
      <c r="L56" s="1573"/>
      <c r="M56" s="1548"/>
      <c r="N56" s="1548"/>
      <c r="O56" s="740"/>
      <c r="P56" s="602"/>
      <c r="Q56" s="1571"/>
      <c r="R56" s="602"/>
      <c r="S56" s="1549"/>
      <c r="T56" s="1552" t="s">
        <v>358</v>
      </c>
      <c r="U56" s="1551"/>
      <c r="V56" s="1551"/>
      <c r="W56" s="1551"/>
      <c r="X56" s="1551"/>
      <c r="Y56" s="1551"/>
      <c r="Z56" s="1551"/>
      <c r="AA56" s="1551"/>
      <c r="AB56" s="1551"/>
      <c r="AC56" s="1551"/>
      <c r="AD56" s="1551"/>
      <c r="AE56" s="1551"/>
      <c r="AF56" s="1551"/>
      <c r="AG56" s="1551"/>
      <c r="AH56" s="1551"/>
      <c r="AI56" s="1551"/>
      <c r="AJ56" s="1551"/>
      <c r="AK56" s="1551"/>
      <c r="AL56" s="1551"/>
      <c r="AM56" s="1551"/>
      <c r="AO56" s="722"/>
      <c r="AP56" s="722" t="str">
        <f>IF(T56="","",T56)</f>
        <v>Добавить территорию для дифференциации</v>
      </c>
      <c r="AQ56" s="722"/>
      <c r="AR56" s="722"/>
    </row>
    <row s="16531" customFormat="1" customHeight="1" ht="0.75">
      <c r="A57" s="1541"/>
      <c r="B57" s="1541"/>
      <c r="C57" s="1541"/>
      <c r="D57" s="1541"/>
      <c r="E57" s="1570"/>
      <c r="F57" s="1541"/>
      <c r="G57" s="1541"/>
      <c r="H57" s="1541"/>
      <c r="I57" s="1541"/>
      <c r="J57" s="1541"/>
      <c r="K57" s="1541"/>
      <c r="L57" s="1566"/>
      <c r="M57" s="1548"/>
      <c r="N57" s="1548"/>
      <c r="P57" s="1543"/>
      <c r="Q57" s="1544"/>
      <c r="R57" s="1543"/>
      <c r="S57" s="1549"/>
      <c r="T57" s="1552" t="s">
        <v>359</v>
      </c>
      <c r="U57" s="1551"/>
      <c r="V57" s="1551"/>
      <c r="W57" s="1551"/>
      <c r="X57" s="1551"/>
      <c r="Y57" s="1551"/>
      <c r="Z57" s="1551"/>
      <c r="AA57" s="1551"/>
      <c r="AB57" s="1551"/>
      <c r="AC57" s="1551"/>
      <c r="AD57" s="1551"/>
      <c r="AE57" s="1551"/>
      <c r="AF57" s="1551"/>
      <c r="AG57" s="1551"/>
      <c r="AH57" s="1551"/>
      <c r="AI57" s="1551"/>
      <c r="AJ57" s="1551"/>
      <c r="AK57" s="1551"/>
      <c r="AL57" s="1551"/>
      <c r="AM57" s="1551"/>
      <c r="AO57" s="1011"/>
      <c r="AP57" s="1011" t="str">
        <f>IF(T57="","",T57)</f>
        <v>Добавить наименование тарифа</v>
      </c>
      <c r="AQ57" s="1011"/>
      <c r="AR57" s="1011"/>
    </row>
    <row customHeight="1" ht="11.25">
      <c r="M58" s="1384"/>
      <c r="N58" s="1384"/>
      <c r="O58" s="759"/>
      <c r="P58" s="1379"/>
      <c r="Q58" s="1379"/>
      <c r="R58" s="1379"/>
      <c r="S58" s="1379"/>
      <c r="AN58" s="1379"/>
      <c r="AO58" s="1379"/>
      <c r="AP58" s="1379"/>
      <c r="AQ58" s="1379"/>
      <c r="AR58" s="1379"/>
    </row>
    <row customHeight="1" ht="21.75">
      <c r="O59" s="759"/>
      <c r="S59" s="1479"/>
      <c r="T59" s="2387"/>
      <c r="U59" s="2387"/>
      <c r="V59" s="2387"/>
      <c r="W59" s="2387"/>
      <c r="X59" s="2387"/>
      <c r="Y59" s="2387"/>
      <c r="Z59" s="2387"/>
      <c r="AA59" s="2387"/>
      <c r="AB59" s="2387"/>
      <c r="AC59" s="2387"/>
      <c r="AD59" s="2387"/>
      <c r="AE59" s="2387"/>
      <c r="AF59" s="2387"/>
      <c r="AG59" s="2387"/>
      <c r="AH59" s="2387"/>
      <c r="AI59" s="2387"/>
      <c r="AJ59" s="2387"/>
      <c r="AK59" s="2387"/>
      <c r="AL59" s="2387"/>
      <c r="AM59" s="2387"/>
    </row>
    <row customHeight="1" ht="29.25">
      <c r="O60" s="759"/>
      <c r="T60" s="2387"/>
      <c r="U60" s="2387"/>
      <c r="V60" s="2387"/>
      <c r="W60" s="2387"/>
      <c r="X60" s="2387"/>
      <c r="Y60" s="2387"/>
      <c r="Z60" s="2387"/>
      <c r="AA60" s="2387"/>
      <c r="AB60" s="2387"/>
      <c r="AC60" s="2387"/>
      <c r="AD60" s="2387"/>
      <c r="AE60" s="2387"/>
      <c r="AF60" s="2387"/>
      <c r="AG60" s="2387"/>
      <c r="AH60" s="2387"/>
      <c r="AI60" s="2387"/>
      <c r="AJ60" s="2387"/>
      <c r="AK60" s="2387"/>
      <c r="AL60" s="2387"/>
      <c r="AM60" s="2387"/>
    </row>
    <row customHeight="1" ht="39.75">
      <c r="O61" s="759"/>
      <c r="T61" s="2387"/>
      <c r="U61" s="2387"/>
      <c r="V61" s="2387"/>
      <c r="W61" s="2387"/>
      <c r="X61" s="2387"/>
      <c r="Y61" s="2387"/>
      <c r="Z61" s="2387"/>
      <c r="AA61" s="2387"/>
      <c r="AB61" s="2387"/>
      <c r="AC61" s="2387"/>
      <c r="AD61" s="2387"/>
      <c r="AE61" s="2387"/>
      <c r="AF61" s="2387"/>
      <c r="AG61" s="2387"/>
      <c r="AH61" s="2387"/>
      <c r="AI61" s="2387"/>
      <c r="AJ61" s="2387"/>
      <c r="AK61" s="2387"/>
      <c r="AL61" s="2387"/>
      <c r="AM61" s="2387"/>
    </row>
    <row customHeight="1" ht="14.25">
      <c r="O62" s="759"/>
    </row>
    <row customHeight="1" ht="19.5">
      <c r="O63" s="759"/>
      <c r="S63" s="1479"/>
      <c r="T63" s="2433"/>
      <c r="U63" s="2387"/>
      <c r="V63" s="2387"/>
      <c r="W63" s="2387"/>
      <c r="X63" s="2387"/>
      <c r="Y63" s="2387"/>
      <c r="Z63" s="2387"/>
      <c r="AA63" s="2387"/>
      <c r="AB63" s="2387"/>
      <c r="AC63" s="2387"/>
      <c r="AD63" s="2387"/>
      <c r="AE63" s="2387"/>
      <c r="AF63" s="2387"/>
      <c r="AG63" s="2387"/>
      <c r="AH63" s="2387"/>
      <c r="AI63" s="2387"/>
      <c r="AJ63" s="2387"/>
      <c r="AK63" s="2387"/>
      <c r="AL63" s="2387"/>
      <c r="AM63" s="2387"/>
    </row>
    <row customHeight="1" ht="27.75">
      <c r="O64" s="759"/>
      <c r="T64" s="2387"/>
      <c r="U64" s="2387"/>
      <c r="V64" s="2387"/>
      <c r="W64" s="2387"/>
      <c r="X64" s="2387"/>
      <c r="Y64" s="2387"/>
      <c r="Z64" s="2387"/>
      <c r="AA64" s="2387"/>
      <c r="AB64" s="2387"/>
      <c r="AC64" s="2387"/>
      <c r="AD64" s="2387"/>
      <c r="AE64" s="2387"/>
      <c r="AF64" s="2387"/>
      <c r="AG64" s="2387"/>
      <c r="AH64" s="2387"/>
      <c r="AI64" s="2387"/>
      <c r="AJ64" s="2387"/>
      <c r="AK64" s="2387"/>
      <c r="AL64" s="2387"/>
      <c r="AM64" s="2387"/>
    </row>
    <row customHeight="1" ht="33.75">
      <c r="T65" s="2387"/>
      <c r="U65" s="2387"/>
      <c r="V65" s="2387"/>
      <c r="W65" s="2387"/>
      <c r="X65" s="2387"/>
      <c r="Y65" s="2387"/>
      <c r="Z65" s="2387"/>
      <c r="AA65" s="2387"/>
      <c r="AB65" s="2387"/>
      <c r="AC65" s="2387"/>
      <c r="AD65" s="2387"/>
      <c r="AE65" s="2387"/>
      <c r="AF65" s="2387"/>
      <c r="AG65" s="2387"/>
      <c r="AH65" s="2387"/>
      <c r="AI65" s="2387"/>
      <c r="AJ65" s="2387"/>
      <c r="AK65" s="2387"/>
      <c r="AL65" s="2387"/>
      <c r="AM65" s="2387"/>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7C1EEC-EF39-857A-B893-F19BC5BBC5A2}"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6550" width="10.57421875" hidden="1"/>
    <col min="2" max="2" style="16550" width="11.00390625" hidden="1" customWidth="1"/>
    <col min="3" max="3" style="16550" width="10.57421875" hidden="1"/>
    <col min="4" max="4" style="16550" width="11.8515625" hidden="1" customWidth="1"/>
    <col min="5" max="5" style="16550" width="10.00390625" hidden="1" customWidth="1"/>
    <col min="6" max="6" style="16550" width="8.7109375" hidden="1" customWidth="1"/>
    <col min="7" max="7" style="16550" width="7.57421875" hidden="1" customWidth="1"/>
    <col min="8" max="8" style="16550" width="11.421875" hidden="1" customWidth="1"/>
    <col min="9" max="9" style="16550" width="12.00390625" hidden="1" customWidth="1"/>
    <col min="10" max="10" style="16550" width="9.8515625" hidden="1" customWidth="1"/>
    <col min="11" max="11" style="16550" width="11.421875" hidden="1" customWidth="1"/>
    <col min="12" max="12" style="16630" width="19.140625" hidden="1" customWidth="1"/>
    <col min="13" max="14" style="16631" width="12.28125" hidden="1" customWidth="1"/>
    <col min="15" max="15" style="16631" width="23.421875" hidden="1" customWidth="1"/>
    <col min="16" max="16" style="16643" width="3.7109375" hidden="1" customWidth="1"/>
    <col min="17" max="18" style="16633" width="3.7109375" customWidth="1"/>
    <col min="19" max="19" style="16634" width="12.7109375" customWidth="1"/>
    <col min="20" max="20" style="16635" width="32.00390625" customWidth="1"/>
    <col min="21" max="21" style="16635" width="0.140625" customWidth="1"/>
    <col min="22" max="22" style="16635" width="24.7109375" hidden="1" customWidth="1"/>
    <col min="23" max="23" style="16635" width="0.140625" hidden="1" customWidth="1"/>
    <col min="24" max="25" style="16635" width="24.7109375" hidden="1" customWidth="1"/>
    <col min="26" max="26" style="16635" width="11.7109375" hidden="1" customWidth="1"/>
    <col min="27" max="27" style="16635" width="3.7109375" hidden="1" customWidth="1"/>
    <col min="28" max="28" style="16635" width="11.7109375" hidden="1" customWidth="1"/>
    <col min="29" max="29" style="16635" width="8.57421875" hidden="1" customWidth="1"/>
    <col min="30" max="30" style="16635" width="24.7109375" customWidth="1"/>
    <col min="31" max="31" style="16635" width="0.140625" customWidth="1"/>
    <col min="32" max="33" style="16635" width="24.7109375" customWidth="1"/>
    <col min="34" max="34" style="16635" width="11.7109375" customWidth="1"/>
    <col min="35" max="35" style="16635" width="3.7109375" customWidth="1"/>
    <col min="36" max="36" style="16635" width="11.7109375" customWidth="1"/>
    <col min="37" max="37" style="16635" width="8.57421875" hidden="1" customWidth="1"/>
    <col min="38" max="38" style="16635" width="4.7109375" customWidth="1"/>
    <col min="39" max="39" style="16635" width="115.7109375" customWidth="1"/>
    <col min="40" max="41" style="16622" width="10.57421875"/>
    <col min="42" max="42" style="16622" width="11.140625" customWidth="1"/>
    <col min="43" max="44" style="16622" width="10.57421875"/>
  </cols>
  <sheetData>
    <row customHeight="1" ht="14.25" hidden="1">
      <c r="Y1" s="549"/>
      <c r="Z1" s="549"/>
      <c r="AG1" s="549"/>
      <c r="AH1" s="549"/>
    </row>
    <row customHeight="1" ht="21" hidden="1">
      <c r="A2" s="1590"/>
      <c r="B2" s="1590"/>
      <c r="C2" s="1590"/>
      <c r="D2" s="1590"/>
      <c r="E2" s="2388">
        <v>1</v>
      </c>
      <c r="F2" s="1590"/>
      <c r="G2" s="1590"/>
      <c r="H2" s="1590"/>
      <c r="I2" s="1590"/>
      <c r="J2" s="1590"/>
      <c r="K2" s="1590"/>
      <c r="L2" s="1591"/>
      <c r="M2" s="1592"/>
      <c r="N2" s="1592"/>
      <c r="O2" s="1592"/>
      <c r="P2" s="583"/>
      <c r="Q2" s="582"/>
      <c r="R2" s="577"/>
      <c r="S2" s="1563">
        <f>INDEX(PT_DIFFERENTIATION_NUM_NTAR,MATCH(A2,PT_DIFFERENTIATION_NTAR_ID,0))</f>
      </c>
      <c r="T2" s="520" t="s">
        <v>179</v>
      </c>
      <c r="U2" s="522"/>
      <c r="V2" s="2382"/>
      <c r="W2" s="2383"/>
      <c r="X2" s="2383"/>
      <c r="Y2" s="2383"/>
      <c r="Z2" s="2383"/>
      <c r="AA2" s="2383"/>
      <c r="AB2" s="2383"/>
      <c r="AC2" s="2384"/>
      <c r="AD2" s="2382">
        <f>INDEX(PT_DIFFERENTIATION_NTAR,MATCH(A2,PT_DIFFERENTIATION_NTAR_ID,0))</f>
      </c>
      <c r="AE2" s="2383"/>
      <c r="AF2" s="2383"/>
      <c r="AG2" s="2383"/>
      <c r="AH2" s="2383"/>
      <c r="AI2" s="2383"/>
      <c r="AJ2" s="2383"/>
      <c r="AK2" s="2383"/>
      <c r="AL2" s="2384"/>
      <c r="AM2" s="1484" t="s">
        <v>502</v>
      </c>
      <c r="AO2" s="722"/>
      <c r="AP2" s="722" t="str">
        <f>IF(T2="","",T2)</f>
        <v>Наименование тарифа</v>
      </c>
      <c r="AQ2" s="722"/>
      <c r="AR2" s="722"/>
    </row>
    <row customHeight="1" ht="21" hidden="1">
      <c r="A3" s="1590"/>
      <c r="B3" s="1590"/>
      <c r="C3" s="1590"/>
      <c r="D3" s="1590"/>
      <c r="E3" s="2389"/>
      <c r="F3" s="2388">
        <v>1</v>
      </c>
      <c r="G3" s="1590"/>
      <c r="H3" s="1590"/>
      <c r="I3" s="1590"/>
      <c r="J3" s="1590"/>
      <c r="K3" s="1590"/>
      <c r="L3" s="1591"/>
      <c r="M3" s="1592"/>
      <c r="N3" s="1592"/>
      <c r="O3" s="1592"/>
      <c r="P3" s="1559"/>
      <c r="Q3" s="574"/>
      <c r="R3" s="575"/>
      <c r="S3" s="1563">
        <f>INDEX(PT_DIFFERENTIATION_NUM_TER,MATCH(B3,PT_DIFFERENTIATION_TER_ID,0))</f>
      </c>
      <c r="T3" s="530" t="s">
        <v>503</v>
      </c>
      <c r="U3" s="522"/>
      <c r="V3" s="2382"/>
      <c r="W3" s="2383"/>
      <c r="X3" s="2383"/>
      <c r="Y3" s="2383"/>
      <c r="Z3" s="2383"/>
      <c r="AA3" s="2383"/>
      <c r="AB3" s="2383"/>
      <c r="AC3" s="2384"/>
      <c r="AD3" s="2382">
        <f>INDEX(PT_DIFFERENTIATION_TER,MATCH(B3,PT_DIFFERENTIATION_TER_ID,0))</f>
      </c>
      <c r="AE3" s="2383"/>
      <c r="AF3" s="2383"/>
      <c r="AG3" s="2383"/>
      <c r="AH3" s="2383"/>
      <c r="AI3" s="2383"/>
      <c r="AJ3" s="2383"/>
      <c r="AK3" s="2383"/>
      <c r="AL3" s="2384"/>
      <c r="AM3" s="1484" t="s">
        <v>504</v>
      </c>
      <c r="AO3" s="722"/>
      <c r="AP3" s="722" t="str">
        <f>IF(T3="","",T3)</f>
        <v>Территория действия тарифа</v>
      </c>
      <c r="AQ3" s="722"/>
      <c r="AR3" s="722"/>
    </row>
    <row customHeight="1" ht="23.25" hidden="1">
      <c r="A4" s="1590"/>
      <c r="B4" s="1590"/>
      <c r="C4" s="1590"/>
      <c r="D4" s="1590"/>
      <c r="E4" s="2389"/>
      <c r="F4" s="2389"/>
      <c r="G4" s="2388">
        <v>1</v>
      </c>
      <c r="H4" s="1590"/>
      <c r="I4" s="1590"/>
      <c r="J4" s="1590"/>
      <c r="K4" s="1590"/>
      <c r="L4" s="1591"/>
      <c r="M4" s="1592"/>
      <c r="N4" s="1592"/>
      <c r="O4" s="1592"/>
      <c r="P4" s="576"/>
      <c r="Q4" s="574"/>
      <c r="R4" s="575"/>
      <c r="S4" s="1563">
        <f>INDEX(PT_DIFFERENTIATION_NUM_CS,MATCH(C4,PT_DIFFERENTIATION_CS_ID,0))</f>
      </c>
      <c r="T4" s="531" t="s">
        <v>505</v>
      </c>
      <c r="U4" s="522"/>
      <c r="V4" s="2382"/>
      <c r="W4" s="2383"/>
      <c r="X4" s="2383"/>
      <c r="Y4" s="2383"/>
      <c r="Z4" s="2383"/>
      <c r="AA4" s="2383"/>
      <c r="AB4" s="2383"/>
      <c r="AC4" s="2384"/>
      <c r="AD4" s="2382">
        <f>INDEX(PT_DIFFERENTIATION_CS,MATCH(C4,PT_DIFFERENTIATION_CS_ID,0))</f>
      </c>
      <c r="AE4" s="2383"/>
      <c r="AF4" s="2383"/>
      <c r="AG4" s="2383"/>
      <c r="AH4" s="2383"/>
      <c r="AI4" s="2383"/>
      <c r="AJ4" s="2383"/>
      <c r="AK4" s="2383"/>
      <c r="AL4" s="2384"/>
      <c r="AM4" s="1484" t="s">
        <v>506</v>
      </c>
      <c r="AO4" s="722"/>
      <c r="AP4" s="722" t="str">
        <f>IF(T4="","",T4)</f>
        <v>Наименование системы теплоснабжения </v>
      </c>
      <c r="AQ4" s="722"/>
      <c r="AR4" s="722"/>
    </row>
    <row customHeight="1" ht="21" hidden="1">
      <c r="A5" s="1590"/>
      <c r="B5" s="1590"/>
      <c r="C5" s="1590"/>
      <c r="D5" s="1590"/>
      <c r="E5" s="2389"/>
      <c r="F5" s="2389"/>
      <c r="G5" s="2389"/>
      <c r="H5" s="2388">
        <v>1</v>
      </c>
      <c r="I5" s="1590"/>
      <c r="J5" s="1590"/>
      <c r="K5" s="1590"/>
      <c r="L5" s="1591"/>
      <c r="M5" s="1592"/>
      <c r="N5" s="1592"/>
      <c r="O5" s="1592"/>
      <c r="P5" s="576"/>
      <c r="Q5" s="574"/>
      <c r="R5" s="575"/>
      <c r="S5" s="1563">
        <f>INDEX(PT_DIFFERENTIATION_NUM_IST_TE,MATCH(D5,PT_DIFFERENTIATION_IST_TE_ID,0))</f>
      </c>
      <c r="T5" s="532" t="s">
        <v>507</v>
      </c>
      <c r="U5" s="522"/>
      <c r="V5" s="2382"/>
      <c r="W5" s="2383"/>
      <c r="X5" s="2383"/>
      <c r="Y5" s="2383"/>
      <c r="Z5" s="2383"/>
      <c r="AA5" s="2383"/>
      <c r="AB5" s="2383"/>
      <c r="AC5" s="2384"/>
      <c r="AD5" s="2382">
        <f>INDEX(PT_DIFFERENTIATION_IST_TE,MATCH(D5,PT_DIFFERENTIATION_IST_TE_ID,0))</f>
      </c>
      <c r="AE5" s="2383"/>
      <c r="AF5" s="2383"/>
      <c r="AG5" s="2383"/>
      <c r="AH5" s="2383"/>
      <c r="AI5" s="2383"/>
      <c r="AJ5" s="2383"/>
      <c r="AK5" s="2383"/>
      <c r="AL5" s="2384"/>
      <c r="AM5" s="1484" t="s">
        <v>508</v>
      </c>
      <c r="AO5" s="722"/>
      <c r="AP5" s="722" t="str">
        <f>IF(T5="","",T5)</f>
        <v>Источник тепловой энергии  </v>
      </c>
      <c r="AQ5" s="722"/>
      <c r="AR5" s="722"/>
    </row>
    <row customHeight="1" ht="14.25" hidden="1">
      <c r="A6" s="1590"/>
      <c r="B6" s="1590"/>
      <c r="C6" s="1590"/>
      <c r="D6" s="1590"/>
      <c r="E6" s="2389"/>
      <c r="F6" s="2389"/>
      <c r="G6" s="2389"/>
      <c r="H6" s="2389"/>
      <c r="I6" s="2390">
        <f>S5&amp;".1"</f>
      </c>
      <c r="J6" s="1590"/>
      <c r="K6" s="1590"/>
      <c r="L6" s="1591" t="s">
        <v>509</v>
      </c>
      <c r="M6" s="759"/>
      <c r="P6" s="2392">
        <v>1</v>
      </c>
      <c r="Q6" s="1558"/>
      <c r="R6" s="578"/>
      <c r="S6" s="1265"/>
      <c r="T6" s="1610"/>
      <c r="U6" s="1611"/>
      <c r="V6" s="2430"/>
      <c r="W6" s="2431"/>
      <c r="X6" s="2431"/>
      <c r="Y6" s="2431"/>
      <c r="Z6" s="2431"/>
      <c r="AA6" s="2431"/>
      <c r="AB6" s="2431"/>
      <c r="AC6" s="2432"/>
      <c r="AD6" s="2430"/>
      <c r="AE6" s="2431"/>
      <c r="AF6" s="2431"/>
      <c r="AG6" s="2431"/>
      <c r="AH6" s="2431"/>
      <c r="AI6" s="2431"/>
      <c r="AJ6" s="2431"/>
      <c r="AK6" s="2431"/>
      <c r="AL6" s="2432"/>
      <c r="AM6" s="1612"/>
      <c r="AO6" s="722"/>
      <c r="AP6" s="722" t="str">
        <f>IF(T6="","",T6)</f>
        <v/>
      </c>
      <c r="AQ6" s="722"/>
      <c r="AR6" s="722"/>
    </row>
    <row customHeight="1" ht="21" hidden="1">
      <c r="A7" s="1590"/>
      <c r="B7" s="1590"/>
      <c r="C7" s="1590"/>
      <c r="D7" s="1590"/>
      <c r="E7" s="2389"/>
      <c r="F7" s="2389"/>
      <c r="G7" s="2389"/>
      <c r="H7" s="2389"/>
      <c r="I7" s="2391"/>
      <c r="J7" s="2390">
        <f>I6&amp;".1"</f>
      </c>
      <c r="K7" s="1590"/>
      <c r="L7" s="1591" t="s">
        <v>512</v>
      </c>
      <c r="M7" s="759"/>
      <c r="N7" s="1593"/>
      <c r="P7" s="2392"/>
      <c r="Q7" s="2392">
        <v>1</v>
      </c>
      <c r="R7" s="579"/>
      <c r="S7" s="1563">
        <f>$J7</f>
      </c>
      <c r="T7" s="508" t="s">
        <v>513</v>
      </c>
      <c r="U7" s="522"/>
      <c r="V7" s="2376"/>
      <c r="W7" s="2377"/>
      <c r="X7" s="2377"/>
      <c r="Y7" s="2377"/>
      <c r="Z7" s="2377"/>
      <c r="AA7" s="2377"/>
      <c r="AB7" s="2377"/>
      <c r="AC7" s="2378"/>
      <c r="AD7" s="2376"/>
      <c r="AE7" s="2377"/>
      <c r="AF7" s="2377"/>
      <c r="AG7" s="2377"/>
      <c r="AH7" s="2377"/>
      <c r="AI7" s="2377"/>
      <c r="AJ7" s="2377"/>
      <c r="AK7" s="2377"/>
      <c r="AL7" s="2378"/>
      <c r="AM7" s="1484" t="s">
        <v>514</v>
      </c>
      <c r="AO7" s="722"/>
      <c r="AP7" s="722" t="str">
        <f>IF(T7="","",T7)</f>
        <v>Группа потребителей</v>
      </c>
      <c r="AQ7" s="722"/>
      <c r="AR7" s="722"/>
    </row>
    <row customHeight="1" ht="21" hidden="1">
      <c r="A8" s="1590"/>
      <c r="B8" s="1590"/>
      <c r="C8" s="1590"/>
      <c r="D8" s="1590"/>
      <c r="E8" s="2389"/>
      <c r="F8" s="2389"/>
      <c r="G8" s="2389"/>
      <c r="H8" s="2389"/>
      <c r="I8" s="2391"/>
      <c r="J8" s="2391"/>
      <c r="K8" s="2390">
        <f>J7&amp;".1"</f>
      </c>
      <c r="L8" s="1591" t="s">
        <v>515</v>
      </c>
      <c r="M8" s="759"/>
      <c r="N8" s="1593"/>
      <c r="O8" s="1593"/>
      <c r="P8" s="2392"/>
      <c r="Q8" s="2392"/>
      <c r="R8" s="579">
        <v>1</v>
      </c>
      <c r="S8" s="1563">
        <f>$K8</f>
      </c>
      <c r="T8" s="1574"/>
      <c r="U8" s="522"/>
      <c r="V8" s="973"/>
      <c r="W8" s="547"/>
      <c r="X8" s="973"/>
      <c r="Y8" s="1483"/>
      <c r="Z8" s="2393"/>
      <c r="AA8" s="2263" t="s">
        <v>63</v>
      </c>
      <c r="AB8" s="2393"/>
      <c r="AC8" s="2263" t="s">
        <v>63</v>
      </c>
      <c r="AD8" s="973"/>
      <c r="AE8" s="547"/>
      <c r="AF8" s="973"/>
      <c r="AG8" s="1483"/>
      <c r="AH8" s="2393"/>
      <c r="AI8" s="2263" t="s">
        <v>63</v>
      </c>
      <c r="AJ8" s="2393"/>
      <c r="AK8" s="2263" t="s">
        <v>63</v>
      </c>
      <c r="AL8" s="547"/>
      <c r="AM8" s="2418" t="s">
        <v>516</v>
      </c>
      <c r="AN8" s="733">
        <f>STRCHECKDATE(V9:AL9)</f>
      </c>
      <c r="AO8" s="722"/>
      <c r="AP8" s="722" t="str">
        <f>IF(T8="","",T8)</f>
        <v/>
      </c>
      <c r="AQ8" s="722"/>
      <c r="AR8" s="722"/>
    </row>
    <row customHeight="1" ht="14.25" hidden="1">
      <c r="A9" s="1590"/>
      <c r="B9" s="1590"/>
      <c r="C9" s="1590"/>
      <c r="D9" s="1590"/>
      <c r="E9" s="2389"/>
      <c r="F9" s="2389"/>
      <c r="G9" s="2389"/>
      <c r="H9" s="2389"/>
      <c r="I9" s="2391"/>
      <c r="J9" s="2391"/>
      <c r="K9" s="2390"/>
      <c r="L9" s="1591"/>
      <c r="M9" s="759"/>
      <c r="N9" s="1593"/>
      <c r="O9" s="1593"/>
      <c r="P9" s="2392"/>
      <c r="Q9" s="2392"/>
      <c r="R9" s="579"/>
      <c r="S9" s="1569"/>
      <c r="T9" s="522"/>
      <c r="U9" s="522"/>
      <c r="V9" s="547"/>
      <c r="W9" s="547"/>
      <c r="X9" s="547"/>
      <c r="Y9" s="550" t="str">
        <f>Z8&amp;"-"&amp;AB8</f>
        <v>-</v>
      </c>
      <c r="Z9" s="2394"/>
      <c r="AA9" s="2263"/>
      <c r="AB9" s="2394"/>
      <c r="AC9" s="2263"/>
      <c r="AD9" s="547"/>
      <c r="AE9" s="547"/>
      <c r="AF9" s="547"/>
      <c r="AG9" s="550" t="str">
        <f>AH8&amp;"-"&amp;AJ8</f>
        <v>-</v>
      </c>
      <c r="AH9" s="2394"/>
      <c r="AI9" s="2263"/>
      <c r="AJ9" s="2394"/>
      <c r="AK9" s="2263"/>
      <c r="AL9" s="547"/>
      <c r="AM9" s="2419"/>
      <c r="AO9" s="722"/>
      <c r="AP9" s="722" t="str">
        <f>IF(T9="","",T9)</f>
        <v/>
      </c>
      <c r="AQ9" s="722"/>
      <c r="AR9" s="722"/>
    </row>
    <row customHeight="1" ht="15" hidden="1">
      <c r="A10" s="1590"/>
      <c r="B10" s="1590"/>
      <c r="C10" s="1590"/>
      <c r="D10" s="1590"/>
      <c r="E10" s="2389"/>
      <c r="F10" s="2389"/>
      <c r="G10" s="2389"/>
      <c r="H10" s="2389"/>
      <c r="I10" s="2391"/>
      <c r="J10" s="2390"/>
      <c r="K10" s="1590"/>
      <c r="L10" s="1591"/>
      <c r="M10" s="759"/>
      <c r="N10" s="1593"/>
      <c r="P10" s="2392"/>
      <c r="Q10" s="2392"/>
      <c r="R10" s="578"/>
      <c r="S10" s="1505"/>
      <c r="T10" s="509" t="s">
        <v>517</v>
      </c>
      <c r="U10" s="589"/>
      <c r="V10" s="589"/>
      <c r="W10" s="589"/>
      <c r="X10" s="589"/>
      <c r="Y10" s="589"/>
      <c r="Z10" s="589"/>
      <c r="AA10" s="589"/>
      <c r="AB10" s="589"/>
      <c r="AC10" s="589"/>
      <c r="AD10" s="589"/>
      <c r="AE10" s="589"/>
      <c r="AF10" s="589"/>
      <c r="AG10" s="589"/>
      <c r="AH10" s="589"/>
      <c r="AI10" s="589"/>
      <c r="AJ10" s="589"/>
      <c r="AK10" s="589"/>
      <c r="AL10" s="546"/>
      <c r="AM10" s="2420"/>
      <c r="AO10" s="722"/>
      <c r="AP10" s="722" t="str">
        <f>IF(T10="","",T10)</f>
        <v>Добавить вид теплоносителя (параметры теплоносителя)</v>
      </c>
      <c r="AQ10" s="722"/>
      <c r="AR10" s="722"/>
    </row>
    <row customHeight="1" ht="11.25" hidden="1">
      <c r="A11" s="1590"/>
      <c r="B11" s="1590"/>
      <c r="C11" s="1590"/>
      <c r="D11" s="1590"/>
      <c r="E11" s="2389"/>
      <c r="F11" s="2389"/>
      <c r="G11" s="2389"/>
      <c r="H11" s="2389"/>
      <c r="I11" s="2390"/>
      <c r="J11" s="1590"/>
      <c r="K11" s="1590"/>
      <c r="L11" s="1591"/>
      <c r="M11" s="759"/>
      <c r="P11" s="2392"/>
      <c r="Q11" s="1558"/>
      <c r="R11" s="578"/>
      <c r="S11" s="1505"/>
      <c r="T11" s="587" t="s">
        <v>518</v>
      </c>
      <c r="U11" s="589"/>
      <c r="V11" s="589"/>
      <c r="W11" s="589"/>
      <c r="X11" s="589"/>
      <c r="Y11" s="589"/>
      <c r="Z11" s="589"/>
      <c r="AA11" s="589"/>
      <c r="AB11" s="589"/>
      <c r="AC11" s="588"/>
      <c r="AD11" s="589"/>
      <c r="AE11" s="589"/>
      <c r="AF11" s="589"/>
      <c r="AG11" s="589"/>
      <c r="AH11" s="589"/>
      <c r="AI11" s="589"/>
      <c r="AJ11" s="589"/>
      <c r="AK11" s="588"/>
      <c r="AL11" s="589"/>
      <c r="AM11" s="525"/>
      <c r="AO11" s="722"/>
      <c r="AP11" s="722" t="str">
        <f>IF(T11="","",T11)</f>
        <v>Добавить группу потребителей</v>
      </c>
      <c r="AQ11" s="722"/>
      <c r="AR11" s="722"/>
    </row>
    <row customHeight="1" ht="14.25" hidden="1">
      <c r="A12" s="1590"/>
      <c r="B12" s="1590"/>
      <c r="C12" s="1590"/>
      <c r="D12" s="1590"/>
      <c r="E12" s="2389"/>
      <c r="F12" s="2389"/>
      <c r="G12" s="2389"/>
      <c r="H12" s="2388"/>
      <c r="I12" s="1590"/>
      <c r="J12" s="1590"/>
      <c r="K12" s="1590"/>
      <c r="L12" s="1591"/>
      <c r="M12" s="1592"/>
      <c r="N12" s="1592"/>
      <c r="O12" s="759"/>
      <c r="P12" s="582"/>
      <c r="Q12" s="597"/>
      <c r="R12" s="577"/>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2"/>
      <c r="AP12" s="722" t="str">
        <f>IF(T12="","",T12)</f>
        <v/>
      </c>
      <c r="AQ12" s="722"/>
      <c r="AR12" s="722"/>
    </row>
    <row s="16531" customFormat="1" customHeight="1" ht="14.25" hidden="1">
      <c r="A13" s="1541"/>
      <c r="B13" s="1541"/>
      <c r="C13" s="1541"/>
      <c r="D13" s="1541"/>
      <c r="E13" s="2389"/>
      <c r="F13" s="2389"/>
      <c r="G13" s="2388"/>
      <c r="H13" s="1541"/>
      <c r="I13" s="1541"/>
      <c r="J13" s="1541"/>
      <c r="K13" s="1541"/>
      <c r="L13" s="1566"/>
      <c r="M13" s="1542"/>
      <c r="N13" s="1542"/>
      <c r="P13" s="1543"/>
      <c r="Q13" s="1544"/>
      <c r="R13" s="1543"/>
      <c r="S13" s="1545"/>
      <c r="T13" s="1546" t="s">
        <v>520</v>
      </c>
      <c r="U13" s="1547"/>
      <c r="V13" s="1547"/>
      <c r="W13" s="1547"/>
      <c r="X13" s="1547"/>
      <c r="Y13" s="1547"/>
      <c r="Z13" s="1547"/>
      <c r="AA13" s="1547"/>
      <c r="AB13" s="1547"/>
      <c r="AC13" s="1547"/>
      <c r="AD13" s="1547"/>
      <c r="AE13" s="1547"/>
      <c r="AF13" s="1547"/>
      <c r="AG13" s="1547"/>
      <c r="AH13" s="1547"/>
      <c r="AI13" s="1547"/>
      <c r="AJ13" s="1547"/>
      <c r="AK13" s="1547"/>
      <c r="AL13" s="1547"/>
      <c r="AM13" s="1547"/>
      <c r="AO13" s="1011"/>
      <c r="AP13" s="1011" t="str">
        <f>IF(T13="","",T13)</f>
        <v>Добавить источник для дифференциации</v>
      </c>
      <c r="AQ13" s="1011"/>
      <c r="AR13" s="1011"/>
    </row>
    <row s="16531" customFormat="1" customHeight="1" ht="14.25" hidden="1">
      <c r="A14" s="1541"/>
      <c r="B14" s="1541"/>
      <c r="C14" s="1541"/>
      <c r="D14" s="1541"/>
      <c r="E14" s="2389"/>
      <c r="F14" s="2388"/>
      <c r="G14" s="1541"/>
      <c r="H14" s="1541"/>
      <c r="I14" s="1541"/>
      <c r="J14" s="1541"/>
      <c r="K14" s="1541"/>
      <c r="L14" s="1566"/>
      <c r="M14" s="1548"/>
      <c r="N14" s="1548"/>
      <c r="P14" s="1543"/>
      <c r="Q14" s="1544"/>
      <c r="R14" s="1543"/>
      <c r="S14" s="1549"/>
      <c r="T14" s="1550" t="s">
        <v>305</v>
      </c>
      <c r="U14" s="1551"/>
      <c r="V14" s="1551"/>
      <c r="W14" s="1551"/>
      <c r="X14" s="1551"/>
      <c r="Y14" s="1551"/>
      <c r="Z14" s="1551"/>
      <c r="AA14" s="1551"/>
      <c r="AB14" s="1551"/>
      <c r="AC14" s="1551"/>
      <c r="AD14" s="1551"/>
      <c r="AE14" s="1551"/>
      <c r="AF14" s="1551"/>
      <c r="AG14" s="1551"/>
      <c r="AH14" s="1551"/>
      <c r="AI14" s="1551"/>
      <c r="AJ14" s="1551"/>
      <c r="AK14" s="1551"/>
      <c r="AL14" s="1551"/>
      <c r="AM14" s="1551"/>
      <c r="AO14" s="1011"/>
      <c r="AP14" s="1011" t="str">
        <f>IF(T14="","",T14)</f>
        <v>Добавить централизованную систему для дифференциации</v>
      </c>
      <c r="AQ14" s="1011"/>
      <c r="AR14" s="1011"/>
    </row>
    <row s="16531" customFormat="1" customHeight="1" ht="14.25" hidden="1">
      <c r="A15" s="1541"/>
      <c r="B15" s="1541"/>
      <c r="C15" s="1541"/>
      <c r="D15" s="1541"/>
      <c r="E15" s="2388"/>
      <c r="F15" s="1541"/>
      <c r="G15" s="1541"/>
      <c r="H15" s="1541"/>
      <c r="I15" s="1541"/>
      <c r="J15" s="1541"/>
      <c r="K15" s="1541"/>
      <c r="L15" s="1566"/>
      <c r="M15" s="1548"/>
      <c r="N15" s="1548"/>
      <c r="P15" s="1543"/>
      <c r="Q15" s="1544"/>
      <c r="R15" s="1543"/>
      <c r="S15" s="1549"/>
      <c r="T15" s="1552" t="s">
        <v>358</v>
      </c>
      <c r="U15" s="1551"/>
      <c r="V15" s="1551"/>
      <c r="W15" s="1551"/>
      <c r="X15" s="1551"/>
      <c r="Y15" s="1551"/>
      <c r="Z15" s="1551"/>
      <c r="AA15" s="1551"/>
      <c r="AB15" s="1551"/>
      <c r="AC15" s="1551"/>
      <c r="AD15" s="1551"/>
      <c r="AE15" s="1551"/>
      <c r="AF15" s="1551"/>
      <c r="AG15" s="1551"/>
      <c r="AH15" s="1551"/>
      <c r="AI15" s="1551"/>
      <c r="AJ15" s="1551"/>
      <c r="AK15" s="1551"/>
      <c r="AL15" s="1551"/>
      <c r="AM15" s="1551"/>
      <c r="AO15" s="1011"/>
      <c r="AP15" s="1011" t="str">
        <f>IF(T15="","",T15)</f>
        <v>Добавить территорию для дифференциации</v>
      </c>
      <c r="AQ15" s="1011"/>
      <c r="AR15" s="1011"/>
    </row>
    <row customHeight="1" ht="14.25" hidden="1">
      <c r="AC16" s="549"/>
      <c r="AK16" s="549"/>
    </row>
    <row customHeight="1" ht="14.25" hidden="1">
      <c r="AD17" s="1587"/>
      <c r="AE17" s="1587"/>
      <c r="AF17" s="1587"/>
      <c r="AG17" s="1588"/>
      <c r="AH17" s="2386"/>
      <c r="AI17" s="2385" t="s">
        <v>63</v>
      </c>
      <c r="AJ17" s="2386"/>
      <c r="AK17" s="2385" t="s">
        <v>63</v>
      </c>
    </row>
    <row customHeight="1" ht="14.25" hidden="1">
      <c r="AD18" s="1587"/>
      <c r="AE18" s="1587"/>
      <c r="AF18" s="1587"/>
      <c r="AG18" s="550" t="str">
        <f>AH17&amp;"-"&amp;AJ17</f>
        <v>-</v>
      </c>
      <c r="AH18" s="2385"/>
      <c r="AI18" s="2385"/>
      <c r="AJ18" s="2385"/>
      <c r="AK18" s="2385"/>
    </row>
    <row customHeight="1" ht="14.25" hidden="1">
      <c r="AK19" s="549"/>
    </row>
    <row s="16550" customFormat="1" customHeight="1" ht="22.5" hidden="1">
      <c r="L20" s="1556"/>
      <c r="M20" s="1589"/>
      <c r="N20" s="1589"/>
      <c r="O20" s="1594" t="s">
        <v>521</v>
      </c>
      <c r="P20" s="1589"/>
      <c r="Q20" s="1598"/>
      <c r="R20" s="1598"/>
      <c r="S20" s="951"/>
      <c r="Z20" s="1594"/>
      <c r="AB20" s="1594"/>
      <c r="AC20" s="1593"/>
      <c r="AH20" s="1594"/>
      <c r="AJ20" s="1594"/>
      <c r="AK20" s="1593"/>
      <c r="AN20" s="733"/>
      <c r="AO20" s="733"/>
      <c r="AP20" s="733"/>
      <c r="AQ20" s="733"/>
      <c r="AR20" s="733"/>
    </row>
    <row s="16550" customFormat="1" customHeight="1" ht="14.25" hidden="1">
      <c r="L21" s="1556"/>
      <c r="M21" s="1589"/>
      <c r="N21" s="1589"/>
      <c r="O21" s="1589"/>
      <c r="P21" s="1589"/>
      <c r="Q21" s="1598"/>
      <c r="R21" s="1598"/>
      <c r="S21" s="951"/>
      <c r="AC21" s="1593"/>
      <c r="AK21" s="1593"/>
      <c r="AN21" s="733"/>
      <c r="AO21" s="733"/>
      <c r="AP21" s="733"/>
      <c r="AQ21" s="733"/>
      <c r="AR21" s="733"/>
    </row>
    <row s="16550" customFormat="1" customHeight="1" ht="14.25" hidden="1">
      <c r="L22" s="1556"/>
      <c r="M22" s="1589"/>
      <c r="N22" s="1589"/>
      <c r="O22" s="1591" t="s">
        <v>522</v>
      </c>
      <c r="P22" s="1589"/>
      <c r="Q22" s="1598"/>
      <c r="R22" s="1598"/>
      <c r="S22" s="951"/>
      <c r="T22" s="1384" t="s">
        <v>523</v>
      </c>
      <c r="AA22" s="408" t="s">
        <v>524</v>
      </c>
      <c r="AC22" s="408" t="s">
        <v>525</v>
      </c>
      <c r="AD22" s="1384" t="s">
        <v>523</v>
      </c>
      <c r="AI22" s="408" t="s">
        <v>526</v>
      </c>
      <c r="AK22" s="408" t="s">
        <v>525</v>
      </c>
      <c r="AN22" s="733"/>
      <c r="AO22" s="733"/>
      <c r="AP22" s="733"/>
      <c r="AQ22" s="733"/>
      <c r="AR22" s="733"/>
    </row>
    <row customHeight="1" ht="14.25" hidden="1">
      <c r="O23" s="1591"/>
    </row>
    <row customHeight="1" ht="14.25" hidden="1">
      <c r="O24" s="1591"/>
    </row>
    <row customHeight="1" ht="14.25">
      <c r="Q25" s="598"/>
      <c r="R25" s="598"/>
      <c r="S25" s="1502"/>
      <c r="T25" s="585"/>
      <c r="U25" s="585"/>
      <c r="V25" s="731"/>
      <c r="W25" s="731"/>
      <c r="X25" s="731"/>
      <c r="Y25" s="731"/>
      <c r="Z25" s="731"/>
      <c r="AA25" s="731"/>
      <c r="AB25" s="731"/>
      <c r="AC25" s="731"/>
      <c r="AD25" s="731"/>
      <c r="AE25" s="731"/>
      <c r="AF25" s="731"/>
      <c r="AG25" s="731"/>
      <c r="AH25" s="731"/>
      <c r="AI25" s="731"/>
      <c r="AJ25" s="731"/>
      <c r="AK25" s="731"/>
    </row>
    <row customHeight="1" ht="51">
      <c r="Q26" s="598"/>
      <c r="R26" s="598"/>
      <c r="S26" s="24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1"/>
      <c r="U26" s="2421"/>
      <c r="V26" s="2421"/>
      <c r="W26" s="2421"/>
      <c r="X26" s="2421"/>
      <c r="Y26" s="2421"/>
      <c r="Z26" s="2421"/>
      <c r="AA26" s="2421"/>
      <c r="AB26" s="2421"/>
      <c r="AC26" s="2421"/>
      <c r="AD26" s="2421"/>
      <c r="AE26" s="2421"/>
      <c r="AF26" s="2421"/>
      <c r="AG26" s="2421"/>
      <c r="AH26" s="2421"/>
      <c r="AI26" s="2421"/>
      <c r="AJ26" s="2421"/>
      <c r="AK26" s="1469"/>
    </row>
    <row customHeight="1" ht="14.25">
      <c r="Q27" s="598"/>
      <c r="R27" s="598"/>
      <c r="S27" s="2422" t="str">
        <f>IF(org=0,"Не определено",org)</f>
        <v>КГУП "Примтеплоэнерго"</v>
      </c>
      <c r="T27" s="2422"/>
      <c r="U27" s="2422"/>
      <c r="V27" s="2422"/>
      <c r="W27" s="2422"/>
      <c r="X27" s="2422"/>
      <c r="Y27" s="2422"/>
      <c r="Z27" s="2422"/>
      <c r="AA27" s="2422"/>
      <c r="AB27" s="2422"/>
      <c r="AC27" s="2422"/>
      <c r="AD27" s="2422"/>
      <c r="AE27" s="2422"/>
      <c r="AF27" s="2422"/>
      <c r="AG27" s="2422"/>
      <c r="AH27" s="2422"/>
      <c r="AI27" s="2422"/>
      <c r="AJ27" s="2422"/>
      <c r="AK27" s="1469"/>
    </row>
    <row customHeight="1" ht="14.25" hidden="1">
      <c r="Q28" s="598"/>
      <c r="R28" s="598"/>
      <c r="S28" s="1502"/>
      <c r="T28" s="585"/>
      <c r="U28" s="585"/>
      <c r="V28" s="544"/>
      <c r="W28" s="544"/>
      <c r="X28" s="544"/>
      <c r="Y28" s="544"/>
      <c r="Z28" s="544"/>
      <c r="AA28" s="544"/>
      <c r="AB28" s="544"/>
      <c r="AC28" s="544"/>
      <c r="AD28" s="544"/>
      <c r="AE28" s="544"/>
      <c r="AF28" s="544"/>
      <c r="AG28" s="544"/>
      <c r="AH28" s="544"/>
      <c r="AI28" s="544"/>
      <c r="AJ28" s="544"/>
      <c r="AK28" s="544"/>
      <c r="AL28" s="731"/>
    </row>
    <row s="16563" customFormat="1" customHeight="1" ht="25.5" hidden="1">
      <c r="A29" s="1595"/>
      <c r="B29" s="1595"/>
      <c r="C29" s="1595"/>
      <c r="D29" s="1595"/>
      <c r="E29" s="1595"/>
      <c r="F29" s="1595"/>
      <c r="G29" s="1595"/>
      <c r="H29" s="1595"/>
      <c r="I29" s="1595"/>
      <c r="J29" s="1595"/>
      <c r="K29" s="1595"/>
      <c r="L29" s="1596"/>
      <c r="M29" s="1595"/>
      <c r="N29" s="1595"/>
      <c r="O29" s="1595"/>
      <c r="S29" s="2379" t="s">
        <v>38</v>
      </c>
      <c r="T29" s="2379"/>
      <c r="U29" s="1599"/>
      <c r="V29" s="2381" t="str">
        <f>IF(TITLE_NAME_OR_PR_CHANGE="",IF(TITLE_NAME_OR_PR="","",TITLE_NAME_OR_PR),TITLE_NAME_OR_PR_CHANGE)</f>
        <v/>
      </c>
      <c r="W29" s="2381"/>
      <c r="X29" s="2381"/>
      <c r="Y29" s="2381"/>
      <c r="Z29" s="2381"/>
      <c r="AA29" s="2381"/>
      <c r="AB29" s="2381"/>
      <c r="AC29" s="548"/>
      <c r="AD29" s="2381" t="str">
        <f>IF(TITLE_NAME_OR_PR_CHANGE="",IF(TITLE_NAME_OR_PR="","",TITLE_NAME_OR_PR),TITLE_NAME_OR_PR_CHANGE)</f>
        <v/>
      </c>
      <c r="AE29" s="2381"/>
      <c r="AF29" s="2381"/>
      <c r="AG29" s="2381"/>
      <c r="AH29" s="2381"/>
      <c r="AI29" s="2381"/>
      <c r="AJ29" s="2381"/>
      <c r="AK29" s="548"/>
      <c r="AL29" s="548"/>
      <c r="AM29" s="502"/>
      <c r="AN29" s="590"/>
      <c r="AO29" s="590"/>
      <c r="AP29" s="590"/>
      <c r="AQ29" s="590"/>
      <c r="AR29" s="590"/>
    </row>
    <row s="16563" customFormat="1" customHeight="1" ht="18.75" hidden="1">
      <c r="A30" s="1595"/>
      <c r="B30" s="1595"/>
      <c r="C30" s="1595"/>
      <c r="D30" s="1595"/>
      <c r="E30" s="1595"/>
      <c r="F30" s="1595"/>
      <c r="G30" s="1595"/>
      <c r="H30" s="1595"/>
      <c r="I30" s="1595"/>
      <c r="J30" s="1595"/>
      <c r="K30" s="1595"/>
      <c r="L30" s="1596"/>
      <c r="M30" s="1595"/>
      <c r="N30" s="1595"/>
      <c r="O30" s="1595"/>
      <c r="S30" s="2379" t="s">
        <v>527</v>
      </c>
      <c r="T30" s="2379"/>
      <c r="U30" s="1599"/>
      <c r="V30" s="2380" t="str">
        <f>IF(TITLE_DATE_PR_CHANGE="",IF(TITLE_DATE_PR="","",TITLE_DATE_PR),TITLE_DATE_PR_CHANGE)</f>
        <v>45407.47206018519</v>
      </c>
      <c r="W30" s="2380"/>
      <c r="X30" s="2380"/>
      <c r="Y30" s="2380"/>
      <c r="Z30" s="2380"/>
      <c r="AA30" s="2380"/>
      <c r="AB30" s="2380"/>
      <c r="AC30" s="548"/>
      <c r="AD30" s="2380" t="str">
        <f>IF(TITLE_DATE_PR_CHANGE="",IF(TITLE_DATE_PR="","",TITLE_DATE_PR),TITLE_DATE_PR_CHANGE)</f>
        <v>45407.47206018519</v>
      </c>
      <c r="AE30" s="2380"/>
      <c r="AF30" s="2380"/>
      <c r="AG30" s="2380"/>
      <c r="AH30" s="2380"/>
      <c r="AI30" s="2380"/>
      <c r="AJ30" s="2380"/>
      <c r="AK30" s="548"/>
      <c r="AL30" s="548"/>
      <c r="AM30" s="502"/>
      <c r="AN30" s="590"/>
      <c r="AO30" s="590"/>
      <c r="AP30" s="590"/>
      <c r="AQ30" s="590"/>
      <c r="AR30" s="590"/>
    </row>
    <row s="16563" customFormat="1" customHeight="1" ht="18.75" hidden="1">
      <c r="A31" s="1595"/>
      <c r="B31" s="1595"/>
      <c r="C31" s="1595"/>
      <c r="D31" s="1595"/>
      <c r="E31" s="1595"/>
      <c r="F31" s="1595"/>
      <c r="G31" s="1595"/>
      <c r="H31" s="1595"/>
      <c r="I31" s="1595"/>
      <c r="J31" s="1595"/>
      <c r="K31" s="1595"/>
      <c r="L31" s="1596"/>
      <c r="M31" s="1595"/>
      <c r="N31" s="1595"/>
      <c r="O31" s="1595"/>
      <c r="S31" s="2379" t="s">
        <v>528</v>
      </c>
      <c r="T31" s="2379"/>
      <c r="U31" s="1599"/>
      <c r="V31" s="2381" t="str">
        <f>IF(TITLE_NUMBER_PR_CHANGE="",IF(TITLE_NUMBER_PR="","",TITLE_NUMBER_PR),TITLE_NUMBER_PR_CHANGE)</f>
        <v>27-2067</v>
      </c>
      <c r="W31" s="2381"/>
      <c r="X31" s="2381"/>
      <c r="Y31" s="2381"/>
      <c r="Z31" s="2381"/>
      <c r="AA31" s="2381"/>
      <c r="AB31" s="2381"/>
      <c r="AC31" s="548"/>
      <c r="AD31" s="2381" t="str">
        <f>IF(TITLE_NUMBER_PR_CHANGE="",IF(TITLE_NUMBER_PR="","",TITLE_NUMBER_PR),TITLE_NUMBER_PR_CHANGE)</f>
        <v>27-2067</v>
      </c>
      <c r="AE31" s="2381"/>
      <c r="AF31" s="2381"/>
      <c r="AG31" s="2381"/>
      <c r="AH31" s="2381"/>
      <c r="AI31" s="2381"/>
      <c r="AJ31" s="2381"/>
      <c r="AK31" s="548"/>
      <c r="AL31" s="548"/>
      <c r="AM31" s="502"/>
      <c r="AN31" s="590"/>
      <c r="AO31" s="590"/>
      <c r="AP31" s="590"/>
      <c r="AQ31" s="590"/>
      <c r="AR31" s="590"/>
    </row>
    <row s="16563" customFormat="1" customHeight="1" ht="18.75" hidden="1">
      <c r="A32" s="1595"/>
      <c r="B32" s="1595"/>
      <c r="C32" s="1595"/>
      <c r="D32" s="1595"/>
      <c r="E32" s="1595"/>
      <c r="F32" s="1595"/>
      <c r="G32" s="1595"/>
      <c r="H32" s="1595"/>
      <c r="I32" s="1595"/>
      <c r="J32" s="1595"/>
      <c r="K32" s="1595"/>
      <c r="L32" s="1596"/>
      <c r="M32" s="1595"/>
      <c r="N32" s="1595"/>
      <c r="O32" s="1595"/>
      <c r="S32" s="2379" t="s">
        <v>39</v>
      </c>
      <c r="T32" s="2379"/>
      <c r="U32" s="1599"/>
      <c r="V32" s="2381" t="str">
        <f>IF(TITLE_IST_PUB_CHANGE="",IF(TITLE_IST_PUB="","",TITLE_IST_PUB),TITLE_IST_PUB_CHANGE)</f>
        <v/>
      </c>
      <c r="W32" s="2381"/>
      <c r="X32" s="2381"/>
      <c r="Y32" s="2381"/>
      <c r="Z32" s="2381"/>
      <c r="AA32" s="2381"/>
      <c r="AB32" s="2381"/>
      <c r="AC32" s="548"/>
      <c r="AD32" s="2381" t="str">
        <f>IF(TITLE_IST_PUB_CHANGE="",IF(TITLE_IST_PUB="","",TITLE_IST_PUB),TITLE_IST_PUB_CHANGE)</f>
        <v/>
      </c>
      <c r="AE32" s="2381"/>
      <c r="AF32" s="2381"/>
      <c r="AG32" s="2381"/>
      <c r="AH32" s="2381"/>
      <c r="AI32" s="2381"/>
      <c r="AJ32" s="2381"/>
      <c r="AK32" s="548"/>
      <c r="AL32" s="548"/>
      <c r="AM32" s="502"/>
      <c r="AN32" s="590"/>
      <c r="AO32" s="590"/>
      <c r="AP32" s="590"/>
      <c r="AQ32" s="590"/>
      <c r="AR32" s="590"/>
    </row>
    <row customHeight="1" ht="14.25">
      <c r="Q33" s="598"/>
      <c r="R33" s="598"/>
      <c r="S33" s="1502"/>
      <c r="T33" s="585"/>
      <c r="U33" s="585"/>
      <c r="V33" s="544"/>
      <c r="W33" s="544"/>
      <c r="X33" s="544"/>
      <c r="Y33" s="544"/>
      <c r="Z33" s="544"/>
      <c r="AA33" s="544"/>
      <c r="AB33" s="544"/>
      <c r="AC33" s="544"/>
      <c r="AD33" s="544"/>
      <c r="AE33" s="544"/>
      <c r="AF33" s="544"/>
      <c r="AG33" s="544"/>
      <c r="AH33" s="544"/>
      <c r="AI33" s="544"/>
      <c r="AJ33" s="544"/>
      <c r="AK33" s="544"/>
      <c r="AL33" s="731"/>
    </row>
    <row s="16563" customFormat="1" customHeight="1" ht="18.75">
      <c r="A34" s="1595"/>
      <c r="B34" s="1595"/>
      <c r="C34" s="1595"/>
      <c r="D34" s="1595"/>
      <c r="E34" s="1595"/>
      <c r="F34" s="1595"/>
      <c r="G34" s="1595"/>
      <c r="H34" s="1595"/>
      <c r="I34" s="1595"/>
      <c r="J34" s="1595"/>
      <c r="K34" s="1595"/>
      <c r="L34" s="1596"/>
      <c r="M34" s="1595"/>
      <c r="N34" s="1595"/>
      <c r="O34" s="1595"/>
      <c r="S34" s="2379" t="s">
        <v>529</v>
      </c>
      <c r="T34" s="2379"/>
      <c r="U34" s="1599"/>
      <c r="V34" s="2380" t="str">
        <f>IF(TITLE_DATE_PR_CHANGE="",IF(TITLE_DATE_PR="","",TITLE_DATE_PR),TITLE_DATE_PR_CHANGE)</f>
        <v>45407.47206018519</v>
      </c>
      <c r="W34" s="2380"/>
      <c r="X34" s="2380"/>
      <c r="Y34" s="2380"/>
      <c r="Z34" s="2380"/>
      <c r="AA34" s="2380"/>
      <c r="AB34" s="2380"/>
      <c r="AC34" s="548"/>
      <c r="AD34" s="2380" t="str">
        <f>IF(TITLE_DATE_PR_CHANGE="",IF(TITLE_DATE_PR="","",TITLE_DATE_PR),TITLE_DATE_PR_CHANGE)</f>
        <v>45407.47206018519</v>
      </c>
      <c r="AE34" s="2380"/>
      <c r="AF34" s="2380"/>
      <c r="AG34" s="2380"/>
      <c r="AH34" s="2380"/>
      <c r="AI34" s="2380"/>
      <c r="AJ34" s="2380"/>
      <c r="AK34" s="548"/>
      <c r="AL34" s="548"/>
      <c r="AM34" s="502"/>
      <c r="AN34" s="590"/>
      <c r="AO34" s="590"/>
      <c r="AP34" s="590"/>
      <c r="AQ34" s="590"/>
      <c r="AR34" s="590"/>
    </row>
    <row s="16563" customFormat="1" customHeight="1" ht="25.5">
      <c r="A35" s="1595"/>
      <c r="B35" s="1595"/>
      <c r="C35" s="1595"/>
      <c r="D35" s="1595"/>
      <c r="E35" s="1595"/>
      <c r="F35" s="1595"/>
      <c r="G35" s="1595"/>
      <c r="H35" s="1595"/>
      <c r="I35" s="1595"/>
      <c r="J35" s="1595"/>
      <c r="K35" s="1595"/>
      <c r="L35" s="1596"/>
      <c r="M35" s="1595"/>
      <c r="N35" s="1595"/>
      <c r="O35" s="1595"/>
      <c r="S35" s="2379" t="s">
        <v>530</v>
      </c>
      <c r="T35" s="2379"/>
      <c r="U35" s="1599"/>
      <c r="V35" s="2381" t="str">
        <f>IF(TITLE_NUMBER_PR_CHANGE="",IF(TITLE_NUMBER_PR="","",TITLE_NUMBER_PR),TITLE_NUMBER_PR_CHANGE)</f>
        <v>27-2067</v>
      </c>
      <c r="W35" s="2381"/>
      <c r="X35" s="2381"/>
      <c r="Y35" s="2381"/>
      <c r="Z35" s="2381"/>
      <c r="AA35" s="2381"/>
      <c r="AB35" s="2381"/>
      <c r="AC35" s="548"/>
      <c r="AD35" s="2381" t="str">
        <f>IF(TITLE_NUMBER_PR_CHANGE="",IF(TITLE_NUMBER_PR="","",TITLE_NUMBER_PR),TITLE_NUMBER_PR_CHANGE)</f>
        <v>27-2067</v>
      </c>
      <c r="AE35" s="2381"/>
      <c r="AF35" s="2381"/>
      <c r="AG35" s="2381"/>
      <c r="AH35" s="2381"/>
      <c r="AI35" s="2381"/>
      <c r="AJ35" s="2381"/>
      <c r="AK35" s="548"/>
      <c r="AL35" s="548"/>
      <c r="AM35" s="502"/>
      <c r="AN35" s="590"/>
      <c r="AO35" s="590"/>
      <c r="AP35" s="590"/>
      <c r="AQ35" s="590"/>
      <c r="AR35" s="590"/>
    </row>
    <row s="16563" customFormat="1" customHeight="1" ht="0">
      <c r="A36" s="1595"/>
      <c r="B36" s="1595"/>
      <c r="C36" s="1595"/>
      <c r="D36" s="1595"/>
      <c r="E36" s="1595"/>
      <c r="F36" s="1595"/>
      <c r="G36" s="1595"/>
      <c r="H36" s="1595"/>
      <c r="I36" s="1595"/>
      <c r="J36" s="1595"/>
      <c r="K36" s="1595"/>
      <c r="L36" s="1596"/>
      <c r="M36" s="1595"/>
      <c r="N36" s="1595"/>
      <c r="O36" s="1595"/>
      <c r="S36" s="545"/>
      <c r="T36" s="545"/>
      <c r="U36" s="1567"/>
      <c r="V36" s="548"/>
      <c r="W36" s="548"/>
      <c r="X36" s="548"/>
      <c r="Y36" s="548"/>
      <c r="Z36" s="548"/>
      <c r="AA36" s="548"/>
      <c r="AB36" s="548"/>
      <c r="AC36" s="500" t="s">
        <v>531</v>
      </c>
      <c r="AD36" s="548"/>
      <c r="AE36" s="548"/>
      <c r="AF36" s="548"/>
      <c r="AG36" s="548"/>
      <c r="AH36" s="548"/>
      <c r="AI36" s="548"/>
      <c r="AJ36" s="548"/>
      <c r="AK36" s="500" t="s">
        <v>531</v>
      </c>
      <c r="AN36" s="590"/>
      <c r="AO36" s="590"/>
      <c r="AP36" s="590"/>
      <c r="AQ36" s="590"/>
      <c r="AR36" s="590"/>
    </row>
    <row customHeight="1" ht="14.25">
      <c r="Q37" s="598"/>
      <c r="R37" s="598"/>
      <c r="S37" s="1502"/>
      <c r="T37" s="585"/>
      <c r="U37" s="1470"/>
      <c r="V37" s="2405"/>
      <c r="W37" s="2405"/>
      <c r="X37" s="2405"/>
      <c r="Y37" s="2405"/>
      <c r="Z37" s="2405"/>
      <c r="AA37" s="2405"/>
      <c r="AB37" s="2405"/>
      <c r="AC37" s="2405"/>
      <c r="AD37" s="2405"/>
      <c r="AE37" s="2405"/>
      <c r="AF37" s="2405"/>
      <c r="AG37" s="2405"/>
      <c r="AH37" s="2405"/>
      <c r="AI37" s="2405"/>
      <c r="AJ37" s="2405"/>
      <c r="AK37" s="2405"/>
    </row>
    <row customHeight="1" ht="14.25">
      <c r="Q38" s="598"/>
      <c r="R38" s="598"/>
      <c r="S38" s="2253" t="s">
        <v>406</v>
      </c>
      <c r="T38" s="2253"/>
      <c r="U38" s="2253"/>
      <c r="V38" s="2253"/>
      <c r="W38" s="2253"/>
      <c r="X38" s="2253"/>
      <c r="Y38" s="2253"/>
      <c r="Z38" s="2253"/>
      <c r="AA38" s="2253"/>
      <c r="AB38" s="2253"/>
      <c r="AC38" s="2253"/>
      <c r="AD38" s="2253"/>
      <c r="AE38" s="2253"/>
      <c r="AF38" s="2253"/>
      <c r="AG38" s="2253"/>
      <c r="AH38" s="2253"/>
      <c r="AI38" s="2253"/>
      <c r="AJ38" s="2253"/>
      <c r="AK38" s="2253"/>
      <c r="AL38" s="2253"/>
      <c r="AM38" s="2253" t="s">
        <v>407</v>
      </c>
    </row>
    <row customHeight="1" ht="14.25">
      <c r="Q39" s="598"/>
      <c r="R39" s="598"/>
      <c r="S39" s="2406" t="s">
        <v>84</v>
      </c>
      <c r="T39" s="2343" t="s">
        <v>532</v>
      </c>
      <c r="U39" s="523"/>
      <c r="V39" s="2407" t="s">
        <v>533</v>
      </c>
      <c r="W39" s="2408"/>
      <c r="X39" s="2408"/>
      <c r="Y39" s="2408"/>
      <c r="Z39" s="2408"/>
      <c r="AA39" s="2408"/>
      <c r="AB39" s="2409"/>
      <c r="AC39" s="2410" t="s">
        <v>534</v>
      </c>
      <c r="AD39" s="2407" t="s">
        <v>533</v>
      </c>
      <c r="AE39" s="2408"/>
      <c r="AF39" s="2408"/>
      <c r="AG39" s="2408"/>
      <c r="AH39" s="2408"/>
      <c r="AI39" s="2408"/>
      <c r="AJ39" s="2409"/>
      <c r="AK39" s="2410" t="s">
        <v>535</v>
      </c>
      <c r="AL39" s="2413" t="s">
        <v>536</v>
      </c>
      <c r="AM39" s="2253"/>
    </row>
    <row customHeight="1" ht="33.75">
      <c r="Q40" s="598"/>
      <c r="R40" s="598"/>
      <c r="S40" s="2406"/>
      <c r="T40" s="2343"/>
      <c r="U40" s="1254"/>
      <c r="V40" s="2416" t="s">
        <v>537</v>
      </c>
      <c r="W40" s="2397"/>
      <c r="X40" s="2399" t="s">
        <v>539</v>
      </c>
      <c r="Y40" s="2401"/>
      <c r="Z40" s="2399" t="s">
        <v>540</v>
      </c>
      <c r="AA40" s="2400"/>
      <c r="AB40" s="2401"/>
      <c r="AC40" s="2411"/>
      <c r="AD40" s="2416" t="s">
        <v>553</v>
      </c>
      <c r="AE40" s="2397"/>
      <c r="AF40" s="2399" t="s">
        <v>539</v>
      </c>
      <c r="AG40" s="2401"/>
      <c r="AH40" s="2399" t="s">
        <v>540</v>
      </c>
      <c r="AI40" s="2400"/>
      <c r="AJ40" s="2401"/>
      <c r="AK40" s="2411"/>
      <c r="AL40" s="2414"/>
      <c r="AM40" s="2253"/>
    </row>
    <row customHeight="1" ht="33.75">
      <c r="A41" s="1597"/>
      <c r="B41" s="1597" t="s">
        <v>191</v>
      </c>
      <c r="C41" s="1597" t="s">
        <v>192</v>
      </c>
      <c r="D41" s="1597" t="s">
        <v>193</v>
      </c>
      <c r="E41" s="1591" t="s">
        <v>541</v>
      </c>
      <c r="F41" s="1591" t="s">
        <v>542</v>
      </c>
      <c r="G41" s="1591" t="s">
        <v>543</v>
      </c>
      <c r="H41" s="1591" t="s">
        <v>544</v>
      </c>
      <c r="I41" s="1591" t="s">
        <v>545</v>
      </c>
      <c r="J41" s="1591" t="s">
        <v>546</v>
      </c>
      <c r="K41" s="1591" t="s">
        <v>547</v>
      </c>
      <c r="L41" s="1591" t="s">
        <v>522</v>
      </c>
      <c r="Q41" s="598"/>
      <c r="R41" s="598"/>
      <c r="S41" s="2406"/>
      <c r="T41" s="2343"/>
      <c r="U41" s="524"/>
      <c r="V41" s="2417"/>
      <c r="W41" s="2398"/>
      <c r="X41" s="1448" t="s">
        <v>548</v>
      </c>
      <c r="Y41" s="1448" t="s">
        <v>549</v>
      </c>
      <c r="Z41" s="1565" t="s">
        <v>550</v>
      </c>
      <c r="AA41" s="2402" t="s">
        <v>551</v>
      </c>
      <c r="AB41" s="2403"/>
      <c r="AC41" s="2412"/>
      <c r="AD41" s="2417"/>
      <c r="AE41" s="2398"/>
      <c r="AF41" s="1448" t="s">
        <v>548</v>
      </c>
      <c r="AG41" s="1448" t="s">
        <v>549</v>
      </c>
      <c r="AH41" s="1565" t="s">
        <v>550</v>
      </c>
      <c r="AI41" s="2402" t="s">
        <v>551</v>
      </c>
      <c r="AJ41" s="2403"/>
      <c r="AK41" s="2412"/>
      <c r="AL41" s="2415"/>
      <c r="AM41" s="2253"/>
    </row>
    <row s="16382" customFormat="1" customHeight="1" ht="11.25" hidden="1">
      <c r="A42" s="1597"/>
      <c r="B42" s="1597"/>
      <c r="C42" s="1597"/>
      <c r="D42" s="1597"/>
      <c r="E42" s="1597"/>
      <c r="F42" s="1597"/>
      <c r="G42" s="1597"/>
      <c r="H42" s="1597"/>
      <c r="I42" s="1597"/>
      <c r="J42" s="1597"/>
      <c r="K42" s="1597"/>
      <c r="L42" s="1591"/>
      <c r="M42" s="1589"/>
      <c r="N42" s="1589"/>
      <c r="O42" s="1589"/>
      <c r="P42" s="1472"/>
      <c r="Q42" s="1473"/>
      <c r="R42" s="1480">
        <v>1</v>
      </c>
      <c r="S42" s="1504" t="s">
        <v>168</v>
      </c>
      <c r="T42" s="1481" t="s">
        <v>99</v>
      </c>
      <c r="U42" s="1471" t="str">
        <f>OFFSET(U42,0,-1)</f>
        <v>2</v>
      </c>
      <c r="V42" s="1562">
        <f>OFFSET(V42,0,-1)+1</f>
        <v>3</v>
      </c>
      <c r="W42" s="1562"/>
      <c r="X42" s="1562">
        <f>OFFSET(X42,0,-1)+1</f>
        <v>1</v>
      </c>
      <c r="Y42" s="1562">
        <f>OFFSET(Y42,0,-1)+1</f>
        <v>2</v>
      </c>
      <c r="Z42" s="1562">
        <f>OFFSET(Z42,0,-1)+1</f>
        <v>3</v>
      </c>
      <c r="AA42" s="2404">
        <f>OFFSET(AA42,0,-1)+1</f>
        <v>4</v>
      </c>
      <c r="AB42" s="2404"/>
      <c r="AC42" s="1562">
        <f>OFFSET(AC42,0,-2)+1</f>
        <v>5</v>
      </c>
      <c r="AD42" s="1562">
        <f>OFFSET(AD42,0,-1)+1</f>
        <v>6</v>
      </c>
      <c r="AE42" s="1562"/>
      <c r="AF42" s="1562">
        <f>OFFSET(AF42,0,-1)+1</f>
        <v>1</v>
      </c>
      <c r="AG42" s="1562">
        <f>OFFSET(AG42,0,-1)+1</f>
        <v>2</v>
      </c>
      <c r="AH42" s="1562">
        <f>OFFSET(AH42,0,-1)+1</f>
        <v>3</v>
      </c>
      <c r="AI42" s="2404">
        <f>OFFSET(AI42,0,-1)+1</f>
        <v>4</v>
      </c>
      <c r="AJ42" s="2404"/>
      <c r="AK42" s="1562">
        <f>OFFSET(AK42,0,-2)+1</f>
        <v>5</v>
      </c>
      <c r="AL42" s="1471">
        <f>OFFSET(AL42,0,-1)</f>
        <v>5</v>
      </c>
      <c r="AM42" s="1562">
        <f>OFFSET(AM42,0,-1)+1</f>
        <v>6</v>
      </c>
      <c r="AN42" s="733"/>
      <c r="AO42" s="733"/>
      <c r="AP42" s="733"/>
      <c r="AQ42" s="733"/>
      <c r="AR42" s="733"/>
    </row>
    <row customHeight="1" ht="21">
      <c r="A43" s="1590" t="s">
        <v>236</v>
      </c>
      <c r="B43" s="1590"/>
      <c r="C43" s="1590"/>
      <c r="D43" s="1590"/>
      <c r="E43" s="2388">
        <v>1</v>
      </c>
      <c r="F43" s="1590"/>
      <c r="G43" s="1590"/>
      <c r="H43" s="1590"/>
      <c r="I43" s="1590"/>
      <c r="J43" s="1590"/>
      <c r="K43" s="1590"/>
      <c r="L43" s="1591"/>
      <c r="M43" s="1592"/>
      <c r="N43" s="1592"/>
      <c r="O43" s="1592"/>
      <c r="P43" s="583"/>
      <c r="Q43" s="582"/>
      <c r="R43" s="577"/>
      <c r="S43" s="1563">
        <f>INDEX(PT_DIFFERENTIATION_NUM_NTAR,MATCH(A43,PT_DIFFERENTIATION_NTAR_ID,0))</f>
        <v>0</v>
      </c>
      <c r="T43" s="520" t="s">
        <v>179</v>
      </c>
      <c r="U43" s="522"/>
      <c r="V43" s="2382"/>
      <c r="W43" s="2383"/>
      <c r="X43" s="2383"/>
      <c r="Y43" s="2383"/>
      <c r="Z43" s="2383"/>
      <c r="AA43" s="2383"/>
      <c r="AB43" s="2383"/>
      <c r="AC43" s="2384"/>
      <c r="AD43" s="2382" t="str">
        <f>INDEX(PT_DIFFERENTIATION_NTAR,MATCH(A43,PT_DIFFERENTIATION_NTAR_ID,0))</f>
        <v/>
      </c>
      <c r="AE43" s="2383"/>
      <c r="AF43" s="2383"/>
      <c r="AG43" s="2383"/>
      <c r="AH43" s="2383"/>
      <c r="AI43" s="2383"/>
      <c r="AJ43" s="2383"/>
      <c r="AK43" s="2383"/>
      <c r="AL43" s="2384"/>
      <c r="AM43" s="14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2"/>
      <c r="AP43" s="722" t="str">
        <f>IF(T43="","",T43)</f>
        <v>Наименование тарифа</v>
      </c>
      <c r="AQ43" s="722"/>
      <c r="AR43" s="722"/>
    </row>
    <row customHeight="1" ht="21">
      <c r="A44" s="1590" t="s">
        <v>236</v>
      </c>
      <c r="B44" s="1590" t="s">
        <v>237</v>
      </c>
      <c r="C44" s="1590"/>
      <c r="D44" s="1590"/>
      <c r="E44" s="2389"/>
      <c r="F44" s="2388">
        <v>1</v>
      </c>
      <c r="G44" s="1590"/>
      <c r="H44" s="1590"/>
      <c r="I44" s="1590"/>
      <c r="J44" s="1590"/>
      <c r="K44" s="1590"/>
      <c r="L44" s="1591"/>
      <c r="M44" s="1592"/>
      <c r="N44" s="1592"/>
      <c r="O44" s="1592"/>
      <c r="P44" s="1559"/>
      <c r="Q44" s="574"/>
      <c r="R44" s="575"/>
      <c r="S44" s="1563" t="str">
        <f>INDEX(PT_DIFFERENTIATION_NUM_TER,MATCH(B44,PT_DIFFERENTIATION_TER_ID,0))</f>
        <v>.</v>
      </c>
      <c r="T44" s="530" t="s">
        <v>503</v>
      </c>
      <c r="U44" s="522"/>
      <c r="V44" s="2382"/>
      <c r="W44" s="2383"/>
      <c r="X44" s="2383"/>
      <c r="Y44" s="2383"/>
      <c r="Z44" s="2383"/>
      <c r="AA44" s="2383"/>
      <c r="AB44" s="2383"/>
      <c r="AC44" s="2384"/>
      <c r="AD44" s="2382" t="str">
        <f>INDEX(PT_DIFFERENTIATION_TER,MATCH(B44,PT_DIFFERENTIATION_TER_ID,0))</f>
        <v/>
      </c>
      <c r="AE44" s="2383"/>
      <c r="AF44" s="2383"/>
      <c r="AG44" s="2383"/>
      <c r="AH44" s="2383"/>
      <c r="AI44" s="2383"/>
      <c r="AJ44" s="2383"/>
      <c r="AK44" s="2383"/>
      <c r="AL44" s="2384"/>
      <c r="AM44" s="1484" t="s">
        <v>504</v>
      </c>
      <c r="AO44" s="722"/>
      <c r="AP44" s="722" t="str">
        <f>IF(T44="","",T44)</f>
        <v>Территория действия тарифа</v>
      </c>
      <c r="AQ44" s="722"/>
      <c r="AR44" s="722"/>
    </row>
    <row customHeight="1" ht="23.25">
      <c r="A45" s="1590" t="s">
        <v>236</v>
      </c>
      <c r="B45" s="1590" t="s">
        <v>237</v>
      </c>
      <c r="C45" s="1590" t="s">
        <v>238</v>
      </c>
      <c r="D45" s="1590"/>
      <c r="E45" s="2389"/>
      <c r="F45" s="2389"/>
      <c r="G45" s="2388">
        <v>1</v>
      </c>
      <c r="H45" s="1590"/>
      <c r="I45" s="1590"/>
      <c r="J45" s="1590"/>
      <c r="K45" s="1590"/>
      <c r="L45" s="1591"/>
      <c r="M45" s="1592"/>
      <c r="N45" s="1592"/>
      <c r="O45" s="1592"/>
      <c r="P45" s="576"/>
      <c r="Q45" s="574"/>
      <c r="R45" s="575"/>
      <c r="S45" s="1563" t="str">
        <f>INDEX(PT_DIFFERENTIATION_NUM_CS,MATCH(C45,PT_DIFFERENTIATION_CS_ID,0))</f>
        <v>..</v>
      </c>
      <c r="T45" s="531" t="s">
        <v>505</v>
      </c>
      <c r="U45" s="522"/>
      <c r="V45" s="2382"/>
      <c r="W45" s="2383"/>
      <c r="X45" s="2383"/>
      <c r="Y45" s="2383"/>
      <c r="Z45" s="2383"/>
      <c r="AA45" s="2383"/>
      <c r="AB45" s="2383"/>
      <c r="AC45" s="2384"/>
      <c r="AD45" s="2382" t="str">
        <f>INDEX(PT_DIFFERENTIATION_CS,MATCH(C45,PT_DIFFERENTIATION_CS_ID,0))</f>
        <v/>
      </c>
      <c r="AE45" s="2383"/>
      <c r="AF45" s="2383"/>
      <c r="AG45" s="2383"/>
      <c r="AH45" s="2383"/>
      <c r="AI45" s="2383"/>
      <c r="AJ45" s="2383"/>
      <c r="AK45" s="2383"/>
      <c r="AL45" s="2384"/>
      <c r="AM45" s="1484" t="s">
        <v>506</v>
      </c>
      <c r="AO45" s="722"/>
      <c r="AP45" s="722" t="str">
        <f>IF(T45="","",T45)</f>
        <v>Наименование системы теплоснабжения </v>
      </c>
      <c r="AQ45" s="722"/>
      <c r="AR45" s="722"/>
    </row>
    <row customHeight="1" ht="21">
      <c r="A46" s="1590" t="s">
        <v>236</v>
      </c>
      <c r="B46" s="1590" t="s">
        <v>237</v>
      </c>
      <c r="C46" s="1590" t="s">
        <v>238</v>
      </c>
      <c r="D46" s="1590" t="s">
        <v>239</v>
      </c>
      <c r="E46" s="2389"/>
      <c r="F46" s="2389"/>
      <c r="G46" s="2389"/>
      <c r="H46" s="2388">
        <v>1</v>
      </c>
      <c r="I46" s="1590"/>
      <c r="J46" s="1590"/>
      <c r="K46" s="1590"/>
      <c r="L46" s="1591"/>
      <c r="M46" s="1592"/>
      <c r="N46" s="1592"/>
      <c r="O46" s="1592"/>
      <c r="P46" s="576"/>
      <c r="Q46" s="574"/>
      <c r="R46" s="575"/>
      <c r="S46" s="1563" t="str">
        <f>INDEX(PT_DIFFERENTIATION_NUM_IST_TE,MATCH(D46,PT_DIFFERENTIATION_IST_TE_ID,0))</f>
        <v>...</v>
      </c>
      <c r="T46" s="532" t="s">
        <v>507</v>
      </c>
      <c r="U46" s="522"/>
      <c r="V46" s="2382"/>
      <c r="W46" s="2383"/>
      <c r="X46" s="2383"/>
      <c r="Y46" s="2383"/>
      <c r="Z46" s="2383"/>
      <c r="AA46" s="2383"/>
      <c r="AB46" s="2383"/>
      <c r="AC46" s="2384"/>
      <c r="AD46" s="2382" t="str">
        <f>INDEX(PT_DIFFERENTIATION_IST_TE,MATCH(D46,PT_DIFFERENTIATION_IST_TE_ID,0))</f>
        <v/>
      </c>
      <c r="AE46" s="2383"/>
      <c r="AF46" s="2383"/>
      <c r="AG46" s="2383"/>
      <c r="AH46" s="2383"/>
      <c r="AI46" s="2383"/>
      <c r="AJ46" s="2383"/>
      <c r="AK46" s="2383"/>
      <c r="AL46" s="2384"/>
      <c r="AM46" s="1484" t="s">
        <v>508</v>
      </c>
      <c r="AO46" s="722"/>
      <c r="AP46" s="722" t="str">
        <f>IF(T46="","",T46)</f>
        <v>Источник тепловой энергии  </v>
      </c>
      <c r="AQ46" s="722"/>
      <c r="AR46" s="722"/>
    </row>
    <row s="16622" customFormat="1" customHeight="1" ht="0">
      <c r="A47" s="1570" t="s">
        <v>236</v>
      </c>
      <c r="B47" s="1570" t="s">
        <v>237</v>
      </c>
      <c r="C47" s="1570" t="s">
        <v>238</v>
      </c>
      <c r="D47" s="1570" t="s">
        <v>239</v>
      </c>
      <c r="E47" s="2389"/>
      <c r="F47" s="2389"/>
      <c r="G47" s="2389"/>
      <c r="H47" s="2389"/>
      <c r="I47" s="2390" t="str">
        <f>S46&amp;".1"</f>
        <v>....1</v>
      </c>
      <c r="J47" s="1570"/>
      <c r="K47" s="1570"/>
      <c r="L47" s="1573" t="s">
        <v>509</v>
      </c>
      <c r="M47" s="732"/>
      <c r="N47" s="732"/>
      <c r="O47" s="732"/>
      <c r="P47" s="2392">
        <v>1</v>
      </c>
      <c r="Q47" s="1558"/>
      <c r="R47" s="578"/>
      <c r="S47" s="1265"/>
      <c r="T47" s="1610"/>
      <c r="U47" s="1611"/>
      <c r="V47" s="2430"/>
      <c r="W47" s="2431"/>
      <c r="X47" s="2431"/>
      <c r="Y47" s="2431"/>
      <c r="Z47" s="2431"/>
      <c r="AA47" s="2431"/>
      <c r="AB47" s="2431"/>
      <c r="AC47" s="2432"/>
      <c r="AD47" s="2430"/>
      <c r="AE47" s="2431"/>
      <c r="AF47" s="2431"/>
      <c r="AG47" s="2431"/>
      <c r="AH47" s="2431"/>
      <c r="AI47" s="2431"/>
      <c r="AJ47" s="2431"/>
      <c r="AK47" s="2431"/>
      <c r="AL47" s="2432"/>
      <c r="AM47" s="1612"/>
      <c r="AO47" s="722"/>
      <c r="AP47" s="722" t="str">
        <f>IF(T47="","",T47)</f>
        <v/>
      </c>
      <c r="AQ47" s="722"/>
      <c r="AR47" s="722"/>
    </row>
    <row customHeight="1" ht="21">
      <c r="A48" s="1590" t="s">
        <v>236</v>
      </c>
      <c r="B48" s="1590" t="s">
        <v>237</v>
      </c>
      <c r="C48" s="1590" t="s">
        <v>238</v>
      </c>
      <c r="D48" s="1590" t="s">
        <v>239</v>
      </c>
      <c r="E48" s="2389"/>
      <c r="F48" s="2389"/>
      <c r="G48" s="2389"/>
      <c r="H48" s="2389"/>
      <c r="I48" s="2391"/>
      <c r="J48" s="2390" t="str">
        <f>S46&amp;".1"</f>
        <v>....1</v>
      </c>
      <c r="K48" s="1590"/>
      <c r="L48" s="1591" t="s">
        <v>512</v>
      </c>
      <c r="P48" s="2392"/>
      <c r="Q48" s="2392">
        <v>1</v>
      </c>
      <c r="R48" s="579"/>
      <c r="S48" s="1563" t="str">
        <f>$J48</f>
        <v>....1</v>
      </c>
      <c r="T48" s="508" t="s">
        <v>513</v>
      </c>
      <c r="U48" s="522"/>
      <c r="V48" s="2376"/>
      <c r="W48" s="2377"/>
      <c r="X48" s="2377"/>
      <c r="Y48" s="2377"/>
      <c r="Z48" s="2377"/>
      <c r="AA48" s="2377"/>
      <c r="AB48" s="2377"/>
      <c r="AC48" s="2378"/>
      <c r="AD48" s="2376"/>
      <c r="AE48" s="2377"/>
      <c r="AF48" s="2377"/>
      <c r="AG48" s="2377"/>
      <c r="AH48" s="2377"/>
      <c r="AI48" s="2377"/>
      <c r="AJ48" s="2377"/>
      <c r="AK48" s="2377"/>
      <c r="AL48" s="2378"/>
      <c r="AM48" s="1484" t="s">
        <v>514</v>
      </c>
      <c r="AO48" s="722"/>
      <c r="AP48" s="722" t="str">
        <f>IF(T48="","",T48)</f>
        <v>Группа потребителей</v>
      </c>
      <c r="AQ48" s="722"/>
      <c r="AR48" s="722"/>
    </row>
    <row customHeight="1" ht="21">
      <c r="A49" s="1590" t="s">
        <v>236</v>
      </c>
      <c r="B49" s="1590" t="s">
        <v>237</v>
      </c>
      <c r="C49" s="1590" t="s">
        <v>238</v>
      </c>
      <c r="D49" s="1590" t="s">
        <v>239</v>
      </c>
      <c r="E49" s="2389"/>
      <c r="F49" s="2389"/>
      <c r="G49" s="2389"/>
      <c r="H49" s="2389"/>
      <c r="I49" s="2391"/>
      <c r="J49" s="2391"/>
      <c r="K49" s="2390" t="str">
        <f>J48&amp;".1"</f>
        <v>....1.1</v>
      </c>
      <c r="L49" s="1591" t="s">
        <v>515</v>
      </c>
      <c r="P49" s="2392"/>
      <c r="Q49" s="2392"/>
      <c r="R49" s="579">
        <v>1</v>
      </c>
      <c r="S49" s="1563" t="str">
        <f>$K49</f>
        <v>....1.1</v>
      </c>
      <c r="T49" s="1574"/>
      <c r="U49" s="522"/>
      <c r="V49" s="973"/>
      <c r="W49" s="547"/>
      <c r="X49" s="973"/>
      <c r="Y49" s="1483"/>
      <c r="Z49" s="2393"/>
      <c r="AA49" s="2263" t="s">
        <v>63</v>
      </c>
      <c r="AB49" s="2393"/>
      <c r="AC49" s="2263" t="s">
        <v>63</v>
      </c>
      <c r="AD49" s="973"/>
      <c r="AE49" s="547"/>
      <c r="AF49" s="973"/>
      <c r="AG49" s="1483"/>
      <c r="AH49" s="2393"/>
      <c r="AI49" s="2263" t="s">
        <v>63</v>
      </c>
      <c r="AJ49" s="2395"/>
      <c r="AK49" s="2263" t="s">
        <v>63</v>
      </c>
      <c r="AL49" s="1575"/>
      <c r="AM49" s="2418" t="s">
        <v>554</v>
      </c>
      <c r="AN49" s="733">
        <f>STRCHECKDATE(V50:AL50)</f>
      </c>
      <c r="AO49" s="722"/>
      <c r="AP49" s="722" t="str">
        <f>IF(T49="","",T49)</f>
        <v/>
      </c>
      <c r="AQ49" s="722"/>
      <c r="AR49" s="722"/>
    </row>
    <row customHeight="1" ht="0">
      <c r="A50" s="1590" t="s">
        <v>236</v>
      </c>
      <c r="B50" s="1590" t="s">
        <v>237</v>
      </c>
      <c r="C50" s="1590" t="s">
        <v>238</v>
      </c>
      <c r="D50" s="1590" t="s">
        <v>239</v>
      </c>
      <c r="E50" s="2389"/>
      <c r="F50" s="2389"/>
      <c r="G50" s="2389"/>
      <c r="H50" s="2389"/>
      <c r="I50" s="2391"/>
      <c r="J50" s="2391"/>
      <c r="K50" s="2390"/>
      <c r="L50" s="1591"/>
      <c r="P50" s="2392"/>
      <c r="Q50" s="2392"/>
      <c r="R50" s="579"/>
      <c r="S50" s="1569"/>
      <c r="T50" s="522"/>
      <c r="U50" s="522"/>
      <c r="V50" s="547"/>
      <c r="W50" s="547"/>
      <c r="X50" s="547"/>
      <c r="Y50" s="550" t="str">
        <f>Z49&amp;"-"&amp;AB49</f>
        <v>-</v>
      </c>
      <c r="Z50" s="2394"/>
      <c r="AA50" s="2263"/>
      <c r="AB50" s="2394"/>
      <c r="AC50" s="2263"/>
      <c r="AD50" s="547"/>
      <c r="AE50" s="547"/>
      <c r="AF50" s="547"/>
      <c r="AG50" s="550" t="str">
        <f>AH49&amp;"-"&amp;AJ49</f>
        <v>-</v>
      </c>
      <c r="AH50" s="2394"/>
      <c r="AI50" s="2263"/>
      <c r="AJ50" s="2396"/>
      <c r="AK50" s="2263"/>
      <c r="AL50" s="1576"/>
      <c r="AM50" s="2419"/>
      <c r="AO50" s="722"/>
      <c r="AP50" s="722" t="str">
        <f>IF(T50="","",T50)</f>
        <v/>
      </c>
      <c r="AQ50" s="722"/>
      <c r="AR50" s="722"/>
    </row>
    <row customHeight="1" ht="11.25">
      <c r="A51" s="1590" t="s">
        <v>236</v>
      </c>
      <c r="B51" s="1590" t="s">
        <v>237</v>
      </c>
      <c r="C51" s="1590" t="s">
        <v>238</v>
      </c>
      <c r="D51" s="1590" t="s">
        <v>239</v>
      </c>
      <c r="E51" s="2389"/>
      <c r="F51" s="2389"/>
      <c r="G51" s="2389"/>
      <c r="H51" s="2389"/>
      <c r="I51" s="2391"/>
      <c r="J51" s="2390"/>
      <c r="K51" s="1590"/>
      <c r="L51" s="1591"/>
      <c r="P51" s="2392"/>
      <c r="Q51" s="2392"/>
      <c r="R51" s="578"/>
      <c r="S51" s="1505"/>
      <c r="T51" s="509" t="s">
        <v>517</v>
      </c>
      <c r="U51" s="589"/>
      <c r="V51" s="589"/>
      <c r="W51" s="589"/>
      <c r="X51" s="589"/>
      <c r="Y51" s="589"/>
      <c r="Z51" s="589"/>
      <c r="AA51" s="589"/>
      <c r="AB51" s="589"/>
      <c r="AC51" s="589"/>
      <c r="AD51" s="589"/>
      <c r="AE51" s="589"/>
      <c r="AF51" s="589"/>
      <c r="AG51" s="589"/>
      <c r="AH51" s="589"/>
      <c r="AI51" s="589"/>
      <c r="AJ51" s="589"/>
      <c r="AK51" s="589"/>
      <c r="AL51" s="546"/>
      <c r="AM51" s="2420"/>
      <c r="AO51" s="722"/>
      <c r="AP51" s="722" t="str">
        <f>IF(T51="","",T51)</f>
        <v>Добавить вид теплоносителя (параметры теплоносителя)</v>
      </c>
      <c r="AQ51" s="722"/>
      <c r="AR51" s="722"/>
    </row>
    <row customHeight="1" ht="11.25">
      <c r="A52" s="1590" t="s">
        <v>236</v>
      </c>
      <c r="B52" s="1590" t="s">
        <v>237</v>
      </c>
      <c r="C52" s="1590" t="s">
        <v>238</v>
      </c>
      <c r="D52" s="1590" t="s">
        <v>239</v>
      </c>
      <c r="E52" s="2389"/>
      <c r="F52" s="2389"/>
      <c r="G52" s="2389"/>
      <c r="H52" s="2389"/>
      <c r="I52" s="2390"/>
      <c r="J52" s="1590"/>
      <c r="K52" s="1590"/>
      <c r="L52" s="1591"/>
      <c r="P52" s="2392"/>
      <c r="Q52" s="1558"/>
      <c r="R52" s="578"/>
      <c r="S52" s="1505"/>
      <c r="T52" s="587" t="s">
        <v>518</v>
      </c>
      <c r="U52" s="589"/>
      <c r="V52" s="589"/>
      <c r="W52" s="589"/>
      <c r="X52" s="589"/>
      <c r="Y52" s="589"/>
      <c r="Z52" s="589"/>
      <c r="AA52" s="589"/>
      <c r="AB52" s="589"/>
      <c r="AC52" s="588"/>
      <c r="AD52" s="589"/>
      <c r="AE52" s="589"/>
      <c r="AF52" s="589"/>
      <c r="AG52" s="589"/>
      <c r="AH52" s="589"/>
      <c r="AI52" s="589"/>
      <c r="AJ52" s="589"/>
      <c r="AK52" s="588"/>
      <c r="AL52" s="589"/>
      <c r="AM52" s="525"/>
      <c r="AO52" s="722"/>
      <c r="AP52" s="722" t="str">
        <f>IF(T52="","",T52)</f>
        <v>Добавить группу потребителей</v>
      </c>
      <c r="AQ52" s="722"/>
      <c r="AR52" s="722"/>
    </row>
    <row customHeight="1" ht="0">
      <c r="A53" s="1590" t="s">
        <v>236</v>
      </c>
      <c r="B53" s="1590" t="s">
        <v>237</v>
      </c>
      <c r="C53" s="1590" t="s">
        <v>238</v>
      </c>
      <c r="D53" s="1590" t="s">
        <v>239</v>
      </c>
      <c r="E53" s="2389"/>
      <c r="F53" s="2389"/>
      <c r="G53" s="2389"/>
      <c r="H53" s="2388"/>
      <c r="I53" s="1590"/>
      <c r="J53" s="1590"/>
      <c r="K53" s="1590"/>
      <c r="L53" s="1591"/>
      <c r="M53" s="1592"/>
      <c r="N53" s="1592"/>
      <c r="O53" s="759"/>
      <c r="P53" s="582"/>
      <c r="Q53" s="597"/>
      <c r="R53" s="577"/>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2"/>
      <c r="AP53" s="722" t="str">
        <f>IF(T53="","",T53)</f>
        <v/>
      </c>
      <c r="AQ53" s="722"/>
      <c r="AR53" s="722"/>
    </row>
    <row s="16531" customFormat="1" customHeight="1" ht="0">
      <c r="A54" s="1570" t="s">
        <v>236</v>
      </c>
      <c r="B54" s="1570" t="s">
        <v>237</v>
      </c>
      <c r="C54" s="1570" t="s">
        <v>238</v>
      </c>
      <c r="D54" s="1541"/>
      <c r="E54" s="2389"/>
      <c r="F54" s="2389"/>
      <c r="G54" s="2388"/>
      <c r="H54" s="1541"/>
      <c r="I54" s="1541"/>
      <c r="J54" s="1541"/>
      <c r="K54" s="1541"/>
      <c r="L54" s="1566"/>
      <c r="M54" s="1542"/>
      <c r="N54" s="1542"/>
      <c r="P54" s="1543"/>
      <c r="Q54" s="1544"/>
      <c r="R54" s="1543"/>
      <c r="S54" s="1549"/>
      <c r="T54" s="1552" t="s">
        <v>520</v>
      </c>
      <c r="U54" s="1551"/>
      <c r="V54" s="1551"/>
      <c r="W54" s="1551"/>
      <c r="X54" s="1551"/>
      <c r="Y54" s="1551"/>
      <c r="Z54" s="1551"/>
      <c r="AA54" s="1551"/>
      <c r="AB54" s="1551"/>
      <c r="AC54" s="1551"/>
      <c r="AD54" s="1551"/>
      <c r="AE54" s="1551"/>
      <c r="AF54" s="1551"/>
      <c r="AG54" s="1551"/>
      <c r="AH54" s="1551"/>
      <c r="AI54" s="1551"/>
      <c r="AJ54" s="1551"/>
      <c r="AK54" s="1551"/>
      <c r="AL54" s="1551"/>
      <c r="AM54" s="1551"/>
      <c r="AO54" s="1011"/>
      <c r="AP54" s="1011" t="str">
        <f>IF(T54="","",T54)</f>
        <v>Добавить источник для дифференциации</v>
      </c>
      <c r="AQ54" s="1011"/>
      <c r="AR54" s="1011"/>
    </row>
    <row s="16531" customFormat="1" customHeight="1" ht="0">
      <c r="A55" s="1570" t="s">
        <v>236</v>
      </c>
      <c r="B55" s="1570" t="s">
        <v>237</v>
      </c>
      <c r="C55" s="1541"/>
      <c r="D55" s="1541"/>
      <c r="E55" s="2389"/>
      <c r="F55" s="2388"/>
      <c r="G55" s="1541"/>
      <c r="H55" s="1541"/>
      <c r="I55" s="1541"/>
      <c r="J55" s="1541"/>
      <c r="K55" s="1541"/>
      <c r="L55" s="1566"/>
      <c r="M55" s="1548"/>
      <c r="N55" s="1548"/>
      <c r="P55" s="1543"/>
      <c r="Q55" s="1544"/>
      <c r="R55" s="1543"/>
      <c r="S55" s="1549"/>
      <c r="T55" s="1552" t="s">
        <v>305</v>
      </c>
      <c r="U55" s="1551"/>
      <c r="V55" s="1551"/>
      <c r="W55" s="1551"/>
      <c r="X55" s="1551"/>
      <c r="Y55" s="1551"/>
      <c r="Z55" s="1551"/>
      <c r="AA55" s="1551"/>
      <c r="AB55" s="1551"/>
      <c r="AC55" s="1551"/>
      <c r="AD55" s="1551"/>
      <c r="AE55" s="1551"/>
      <c r="AF55" s="1551"/>
      <c r="AG55" s="1551"/>
      <c r="AH55" s="1551"/>
      <c r="AI55" s="1551"/>
      <c r="AJ55" s="1551"/>
      <c r="AK55" s="1551"/>
      <c r="AL55" s="1551"/>
      <c r="AM55" s="1551"/>
      <c r="AO55" s="1011"/>
      <c r="AP55" s="1011" t="str">
        <f>IF(T55="","",T55)</f>
        <v>Добавить централизованную систему для дифференциации</v>
      </c>
      <c r="AQ55" s="1011"/>
      <c r="AR55" s="1011"/>
    </row>
    <row s="16622" customFormat="1" customHeight="1" ht="0">
      <c r="A56" s="1570" t="s">
        <v>236</v>
      </c>
      <c r="B56" s="1570"/>
      <c r="C56" s="1570"/>
      <c r="D56" s="1570"/>
      <c r="E56" s="2388"/>
      <c r="F56" s="1570"/>
      <c r="G56" s="1570"/>
      <c r="H56" s="1570"/>
      <c r="I56" s="1570"/>
      <c r="J56" s="1570"/>
      <c r="K56" s="1570"/>
      <c r="L56" s="1573"/>
      <c r="M56" s="1548"/>
      <c r="N56" s="1548"/>
      <c r="O56" s="740"/>
      <c r="P56" s="602"/>
      <c r="Q56" s="1571"/>
      <c r="R56" s="602"/>
      <c r="S56" s="1549"/>
      <c r="T56" s="1552" t="s">
        <v>358</v>
      </c>
      <c r="U56" s="1551"/>
      <c r="V56" s="1551"/>
      <c r="W56" s="1551"/>
      <c r="X56" s="1551"/>
      <c r="Y56" s="1551"/>
      <c r="Z56" s="1551"/>
      <c r="AA56" s="1551"/>
      <c r="AB56" s="1551"/>
      <c r="AC56" s="1551"/>
      <c r="AD56" s="1551"/>
      <c r="AE56" s="1551"/>
      <c r="AF56" s="1551"/>
      <c r="AG56" s="1551"/>
      <c r="AH56" s="1551"/>
      <c r="AI56" s="1551"/>
      <c r="AJ56" s="1551"/>
      <c r="AK56" s="1551"/>
      <c r="AL56" s="1551"/>
      <c r="AM56" s="1551"/>
      <c r="AO56" s="722"/>
      <c r="AP56" s="722" t="str">
        <f>IF(T56="","",T56)</f>
        <v>Добавить территорию для дифференциации</v>
      </c>
      <c r="AQ56" s="722"/>
      <c r="AR56" s="722"/>
    </row>
    <row s="16531" customFormat="1" customHeight="1" ht="5.25">
      <c r="A57" s="1541"/>
      <c r="B57" s="1541"/>
      <c r="C57" s="1541"/>
      <c r="D57" s="1541"/>
      <c r="E57" s="1570"/>
      <c r="F57" s="1541"/>
      <c r="G57" s="1541"/>
      <c r="H57" s="1541"/>
      <c r="I57" s="1541"/>
      <c r="J57" s="1541"/>
      <c r="K57" s="1541"/>
      <c r="L57" s="1566"/>
      <c r="M57" s="1548"/>
      <c r="N57" s="1548"/>
      <c r="P57" s="1543"/>
      <c r="Q57" s="1544"/>
      <c r="R57" s="1543"/>
      <c r="S57" s="1549"/>
      <c r="T57" s="1552" t="s">
        <v>359</v>
      </c>
      <c r="U57" s="1551"/>
      <c r="V57" s="1551"/>
      <c r="W57" s="1551"/>
      <c r="X57" s="1551"/>
      <c r="Y57" s="1551"/>
      <c r="Z57" s="1551"/>
      <c r="AA57" s="1551"/>
      <c r="AB57" s="1551"/>
      <c r="AC57" s="1551"/>
      <c r="AD57" s="1551"/>
      <c r="AE57" s="1551"/>
      <c r="AF57" s="1551"/>
      <c r="AG57" s="1551"/>
      <c r="AH57" s="1551"/>
      <c r="AI57" s="1551"/>
      <c r="AJ57" s="1551"/>
      <c r="AK57" s="1551"/>
      <c r="AL57" s="1551"/>
      <c r="AM57" s="1551"/>
      <c r="AO57" s="1011"/>
      <c r="AP57" s="1011" t="str">
        <f>IF(T57="","",T57)</f>
        <v>Добавить наименование тарифа</v>
      </c>
      <c r="AQ57" s="1011"/>
      <c r="AR57" s="1011"/>
    </row>
    <row customHeight="1" ht="11.25">
      <c r="M58" s="1384"/>
      <c r="N58" s="1384"/>
      <c r="O58" s="759"/>
      <c r="P58" s="1379"/>
      <c r="Q58" s="1379"/>
      <c r="R58" s="1379"/>
      <c r="S58" s="1379"/>
      <c r="AN58" s="1379"/>
      <c r="AO58" s="1379"/>
      <c r="AP58" s="1379"/>
      <c r="AQ58" s="1379"/>
      <c r="AR58" s="1379"/>
    </row>
    <row customHeight="1" ht="14.25">
      <c r="O59" s="759"/>
      <c r="S59" s="1479"/>
      <c r="T59" s="2387"/>
      <c r="U59" s="2387"/>
      <c r="V59" s="2387"/>
      <c r="W59" s="2387"/>
      <c r="X59" s="2387"/>
      <c r="Y59" s="2387"/>
      <c r="Z59" s="2387"/>
      <c r="AA59" s="2387"/>
      <c r="AB59" s="2387"/>
      <c r="AC59" s="2387"/>
      <c r="AD59" s="2387"/>
      <c r="AE59" s="2387"/>
      <c r="AF59" s="2387"/>
      <c r="AG59" s="2387"/>
      <c r="AH59" s="2387"/>
      <c r="AI59" s="2387"/>
      <c r="AJ59" s="2387"/>
      <c r="AK59" s="2387"/>
      <c r="AL59" s="2387"/>
      <c r="AM59" s="2387"/>
    </row>
    <row customHeight="1" ht="14.25">
      <c r="O60" s="759"/>
      <c r="T60" s="2387"/>
      <c r="U60" s="2387"/>
      <c r="V60" s="2387"/>
      <c r="W60" s="2387"/>
      <c r="X60" s="2387"/>
      <c r="Y60" s="2387"/>
      <c r="Z60" s="2387"/>
      <c r="AA60" s="2387"/>
      <c r="AB60" s="2387"/>
      <c r="AC60" s="2387"/>
      <c r="AD60" s="2387"/>
      <c r="AE60" s="2387"/>
      <c r="AF60" s="2387"/>
      <c r="AG60" s="2387"/>
      <c r="AH60" s="2387"/>
      <c r="AI60" s="2387"/>
      <c r="AJ60" s="2387"/>
      <c r="AK60" s="2387"/>
      <c r="AL60" s="2387"/>
      <c r="AM60" s="2387"/>
    </row>
    <row customHeight="1" ht="14.25">
      <c r="O61" s="759"/>
      <c r="T61" s="2387"/>
      <c r="U61" s="2387"/>
      <c r="V61" s="2387"/>
      <c r="W61" s="2387"/>
      <c r="X61" s="2387"/>
      <c r="Y61" s="2387"/>
      <c r="Z61" s="2387"/>
      <c r="AA61" s="2387"/>
      <c r="AB61" s="2387"/>
      <c r="AC61" s="2387"/>
      <c r="AD61" s="2387"/>
      <c r="AE61" s="2387"/>
      <c r="AF61" s="2387"/>
      <c r="AG61" s="2387"/>
      <c r="AH61" s="2387"/>
      <c r="AI61" s="2387"/>
      <c r="AJ61" s="2387"/>
      <c r="AK61" s="2387"/>
      <c r="AL61" s="2387"/>
      <c r="AM61" s="2387"/>
    </row>
    <row customHeight="1" ht="14.25">
      <c r="O62" s="759"/>
    </row>
    <row customHeight="1" ht="14.25">
      <c r="O63" s="759"/>
      <c r="S63" s="1479"/>
      <c r="T63" s="2433"/>
      <c r="U63" s="2387"/>
      <c r="V63" s="2387"/>
      <c r="W63" s="2387"/>
      <c r="X63" s="2387"/>
      <c r="Y63" s="2387"/>
      <c r="Z63" s="2387"/>
      <c r="AA63" s="2387"/>
      <c r="AB63" s="2387"/>
      <c r="AC63" s="2387"/>
      <c r="AD63" s="2387"/>
      <c r="AE63" s="2387"/>
      <c r="AF63" s="2387"/>
      <c r="AG63" s="2387"/>
      <c r="AH63" s="2387"/>
      <c r="AI63" s="2387"/>
      <c r="AJ63" s="2387"/>
      <c r="AK63" s="2387"/>
      <c r="AL63" s="2387"/>
      <c r="AM63" s="2387"/>
    </row>
    <row customHeight="1" ht="14.25">
      <c r="O64" s="759"/>
      <c r="T64" s="2387"/>
      <c r="U64" s="2387"/>
      <c r="V64" s="2387"/>
      <c r="W64" s="2387"/>
      <c r="X64" s="2387"/>
      <c r="Y64" s="2387"/>
      <c r="Z64" s="2387"/>
      <c r="AA64" s="2387"/>
      <c r="AB64" s="2387"/>
      <c r="AC64" s="2387"/>
      <c r="AD64" s="2387"/>
      <c r="AE64" s="2387"/>
      <c r="AF64" s="2387"/>
      <c r="AG64" s="2387"/>
      <c r="AH64" s="2387"/>
      <c r="AI64" s="2387"/>
      <c r="AJ64" s="2387"/>
      <c r="AK64" s="2387"/>
      <c r="AL64" s="2387"/>
      <c r="AM64" s="2387"/>
    </row>
    <row customHeight="1" ht="14.25">
      <c r="T65" s="2387"/>
      <c r="U65" s="2387"/>
      <c r="V65" s="2387"/>
      <c r="W65" s="2387"/>
      <c r="X65" s="2387"/>
      <c r="Y65" s="2387"/>
      <c r="Z65" s="2387"/>
      <c r="AA65" s="2387"/>
      <c r="AB65" s="2387"/>
      <c r="AC65" s="2387"/>
      <c r="AD65" s="2387"/>
      <c r="AE65" s="2387"/>
      <c r="AF65" s="2387"/>
      <c r="AG65" s="2387"/>
      <c r="AH65" s="2387"/>
      <c r="AI65" s="2387"/>
      <c r="AJ65" s="2387"/>
      <c r="AK65" s="2387"/>
      <c r="AL65" s="2387"/>
      <c r="AM65" s="2387"/>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D9F2AE-0211-1CC9-C70D-B06053CEAA85}"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16635" width="10.57421875" hidden="1"/>
    <col min="2" max="2" style="16635" width="11.00390625" hidden="1" customWidth="1"/>
    <col min="3" max="3" style="16635" width="10.57421875" hidden="1"/>
    <col min="4" max="4" style="16635" width="11.8515625" hidden="1" customWidth="1"/>
    <col min="5" max="5" style="16635" width="10.00390625" hidden="1" customWidth="1"/>
    <col min="6" max="6" style="16635" width="8.7109375" hidden="1" customWidth="1"/>
    <col min="7" max="7" style="16635" width="7.57421875" hidden="1" customWidth="1"/>
    <col min="8" max="8" style="16635" width="11.421875" hidden="1" customWidth="1"/>
    <col min="9" max="9" style="16635" width="12.00390625" hidden="1" customWidth="1"/>
    <col min="10" max="10" style="16635" width="9.8515625" hidden="1" customWidth="1"/>
    <col min="11" max="12" style="16635" width="11.421875" hidden="1" customWidth="1"/>
    <col min="13" max="13" style="16739" width="19.140625" hidden="1" customWidth="1"/>
    <col min="14" max="15" style="16643" width="12.28125" hidden="1" customWidth="1"/>
    <col min="16" max="16" style="16643" width="23.421875" hidden="1" customWidth="1"/>
    <col min="17" max="17" style="16643" width="3.7109375" hidden="1" customWidth="1"/>
    <col min="18" max="20" style="16633" width="3.7109375" customWidth="1"/>
    <col min="21" max="21" style="16634" width="12.7109375" customWidth="1"/>
    <col min="22" max="22" style="16635" width="32.00390625" customWidth="1"/>
    <col min="23" max="23" style="16635" width="0.140625" customWidth="1"/>
    <col min="24" max="28" style="16635" width="21.7109375" hidden="1" customWidth="1"/>
    <col min="29" max="29" style="16635" width="11.7109375" hidden="1" customWidth="1"/>
    <col min="30" max="30" style="16635" width="3.7109375" hidden="1" customWidth="1"/>
    <col min="31" max="31" style="16635" width="11.7109375" hidden="1" customWidth="1"/>
    <col min="32" max="32" style="16635" width="8.57421875" hidden="1" customWidth="1"/>
    <col min="33" max="37" style="16635" width="21.7109375" customWidth="1"/>
    <col min="38" max="38" style="16635" width="11.7109375" customWidth="1"/>
    <col min="39" max="39" style="16635" width="3.7109375" customWidth="1"/>
    <col min="40" max="40" style="16635" width="11.7109375" customWidth="1"/>
    <col min="41" max="41" style="16635" width="8.57421875" customWidth="1"/>
    <col min="42" max="42" style="16635" width="4.7109375" customWidth="1"/>
    <col min="43" max="43" style="16635" width="115.7109375" customWidth="1"/>
    <col min="44" max="45" style="16622" width="10.57421875"/>
    <col min="46" max="46" style="16622" width="11.140625" customWidth="1"/>
    <col min="47" max="48" style="16622" width="10.57421875"/>
  </cols>
  <sheetData>
    <row customHeight="1" ht="14.25" hidden="1">
      <c r="AB1" s="549"/>
      <c r="AC1" s="549"/>
      <c r="AK1" s="549"/>
      <c r="AL1" s="549"/>
    </row>
    <row customHeight="1" ht="21" hidden="1">
      <c r="A2" s="1494"/>
      <c r="B2" s="1494"/>
      <c r="C2" s="1494"/>
      <c r="D2" s="1494"/>
      <c r="E2" s="2423">
        <v>1</v>
      </c>
      <c r="F2" s="1494"/>
      <c r="G2" s="1494"/>
      <c r="H2" s="1494"/>
      <c r="I2" s="1494"/>
      <c r="J2" s="1494"/>
      <c r="K2" s="1494"/>
      <c r="L2" s="1494"/>
      <c r="M2" s="1537"/>
      <c r="N2" s="910"/>
      <c r="O2" s="910"/>
      <c r="P2" s="910"/>
      <c r="Q2" s="583"/>
      <c r="R2" s="582"/>
      <c r="S2" s="582"/>
      <c r="T2" s="577"/>
      <c r="U2" s="1563">
        <f>INDEX(PT_DIFFERENTIATION_NUM_NTAR,MATCH(A2,PT_DIFFERENTIATION_NTAR_ID,0))</f>
      </c>
      <c r="V2" s="520" t="s">
        <v>179</v>
      </c>
      <c r="W2" s="522"/>
      <c r="X2" s="2382"/>
      <c r="Y2" s="2383"/>
      <c r="Z2" s="2383"/>
      <c r="AA2" s="2383"/>
      <c r="AB2" s="2383"/>
      <c r="AC2" s="2383"/>
      <c r="AD2" s="2383"/>
      <c r="AE2" s="2383"/>
      <c r="AF2" s="2384"/>
      <c r="AG2" s="2382">
        <f>INDEX(PT_DIFFERENTIATION_NTAR,MATCH(A2,PT_DIFFERENTIATION_NTAR_ID,0))</f>
      </c>
      <c r="AH2" s="2383"/>
      <c r="AI2" s="2383"/>
      <c r="AJ2" s="2383"/>
      <c r="AK2" s="2383"/>
      <c r="AL2" s="2383"/>
      <c r="AM2" s="2383"/>
      <c r="AN2" s="2383"/>
      <c r="AO2" s="2383"/>
      <c r="AP2" s="2384"/>
      <c r="AQ2" s="1484" t="s">
        <v>502</v>
      </c>
      <c r="AS2" s="722"/>
      <c r="AT2" s="722" t="str">
        <f>IF(V2="","",V2)</f>
        <v>Наименование тарифа</v>
      </c>
      <c r="AU2" s="722"/>
      <c r="AV2" s="722"/>
    </row>
    <row customHeight="1" ht="21" hidden="1">
      <c r="A3" s="1494"/>
      <c r="B3" s="1494"/>
      <c r="C3" s="1494"/>
      <c r="D3" s="1494"/>
      <c r="E3" s="2424"/>
      <c r="F3" s="2423">
        <v>1</v>
      </c>
      <c r="G3" s="1494"/>
      <c r="H3" s="1494"/>
      <c r="I3" s="1494"/>
      <c r="J3" s="1494"/>
      <c r="K3" s="1494"/>
      <c r="L3" s="1494"/>
      <c r="M3" s="1537"/>
      <c r="N3" s="910"/>
      <c r="O3" s="910"/>
      <c r="P3" s="910"/>
      <c r="Q3" s="1559"/>
      <c r="R3" s="574"/>
      <c r="S3" s="731"/>
      <c r="T3" s="575"/>
      <c r="U3" s="1563">
        <f>INDEX(PT_DIFFERENTIATION_NUM_TER,MATCH(B3,PT_DIFFERENTIATION_TER_ID,0))</f>
      </c>
      <c r="V3" s="530" t="s">
        <v>503</v>
      </c>
      <c r="W3" s="522"/>
      <c r="X3" s="2382"/>
      <c r="Y3" s="2383"/>
      <c r="Z3" s="2383"/>
      <c r="AA3" s="2383"/>
      <c r="AB3" s="2383"/>
      <c r="AC3" s="2383"/>
      <c r="AD3" s="2383"/>
      <c r="AE3" s="2383"/>
      <c r="AF3" s="2384"/>
      <c r="AG3" s="2382">
        <f>INDEX(PT_DIFFERENTIATION_TER,MATCH(B3,PT_DIFFERENTIATION_TER_ID,0))</f>
      </c>
      <c r="AH3" s="2383"/>
      <c r="AI3" s="2383"/>
      <c r="AJ3" s="2383"/>
      <c r="AK3" s="2383"/>
      <c r="AL3" s="2383"/>
      <c r="AM3" s="2383"/>
      <c r="AN3" s="2383"/>
      <c r="AO3" s="2383"/>
      <c r="AP3" s="2384"/>
      <c r="AQ3" s="1484" t="s">
        <v>504</v>
      </c>
      <c r="AS3" s="722"/>
      <c r="AT3" s="722" t="str">
        <f>IF(V3="","",V3)</f>
        <v>Территория действия тарифа</v>
      </c>
      <c r="AU3" s="722"/>
      <c r="AV3" s="722"/>
    </row>
    <row customHeight="1" ht="22.5" hidden="1">
      <c r="A4" s="1494"/>
      <c r="B4" s="1494"/>
      <c r="C4" s="1494"/>
      <c r="D4" s="1494"/>
      <c r="E4" s="2424"/>
      <c r="F4" s="2424"/>
      <c r="G4" s="2423">
        <v>1</v>
      </c>
      <c r="H4" s="1494"/>
      <c r="I4" s="1494"/>
      <c r="J4" s="1494"/>
      <c r="K4" s="1494"/>
      <c r="L4" s="1494"/>
      <c r="M4" s="1537"/>
      <c r="N4" s="910"/>
      <c r="O4" s="910"/>
      <c r="P4" s="910"/>
      <c r="Q4" s="576"/>
      <c r="R4" s="574"/>
      <c r="S4" s="731"/>
      <c r="T4" s="575"/>
      <c r="U4" s="1563">
        <f>INDEX(PT_DIFFERENTIATION_NUM_CS,MATCH(C4,PT_DIFFERENTIATION_CS_ID,0))</f>
      </c>
      <c r="V4" s="531" t="s">
        <v>505</v>
      </c>
      <c r="W4" s="522"/>
      <c r="X4" s="2382"/>
      <c r="Y4" s="2383"/>
      <c r="Z4" s="2383"/>
      <c r="AA4" s="2383"/>
      <c r="AB4" s="2383"/>
      <c r="AC4" s="2383"/>
      <c r="AD4" s="2383"/>
      <c r="AE4" s="2383"/>
      <c r="AF4" s="2384"/>
      <c r="AG4" s="2382">
        <f>INDEX(PT_DIFFERENTIATION_CS,MATCH(C4,PT_DIFFERENTIATION_CS_ID,0))</f>
      </c>
      <c r="AH4" s="2383"/>
      <c r="AI4" s="2383"/>
      <c r="AJ4" s="2383"/>
      <c r="AK4" s="2383"/>
      <c r="AL4" s="2383"/>
      <c r="AM4" s="2383"/>
      <c r="AN4" s="2383"/>
      <c r="AO4" s="2383"/>
      <c r="AP4" s="2384"/>
      <c r="AQ4" s="1484" t="s">
        <v>506</v>
      </c>
      <c r="AS4" s="722"/>
      <c r="AT4" s="722" t="str">
        <f>IF(V4="","",V4)</f>
        <v>Наименование системы теплоснабжения </v>
      </c>
      <c r="AU4" s="722"/>
      <c r="AV4" s="722"/>
    </row>
    <row customHeight="1" ht="21" hidden="1">
      <c r="A5" s="1494"/>
      <c r="B5" s="1494"/>
      <c r="C5" s="1494"/>
      <c r="D5" s="1494"/>
      <c r="E5" s="2424"/>
      <c r="F5" s="2424"/>
      <c r="G5" s="2424"/>
      <c r="H5" s="2423">
        <v>1</v>
      </c>
      <c r="I5" s="1494"/>
      <c r="J5" s="1494"/>
      <c r="K5" s="1494"/>
      <c r="L5" s="1494"/>
      <c r="M5" s="1537"/>
      <c r="N5" s="910"/>
      <c r="O5" s="910"/>
      <c r="P5" s="910"/>
      <c r="Q5" s="576"/>
      <c r="R5" s="574"/>
      <c r="S5" s="731"/>
      <c r="T5" s="575"/>
      <c r="U5" s="1563">
        <f>INDEX(PT_DIFFERENTIATION_NUM_IST_TE,MATCH(D5,PT_DIFFERENTIATION_IST_TE_ID,0))</f>
      </c>
      <c r="V5" s="532" t="s">
        <v>507</v>
      </c>
      <c r="W5" s="522"/>
      <c r="X5" s="2382"/>
      <c r="Y5" s="2383"/>
      <c r="Z5" s="2383"/>
      <c r="AA5" s="2383"/>
      <c r="AB5" s="2383"/>
      <c r="AC5" s="2383"/>
      <c r="AD5" s="2383"/>
      <c r="AE5" s="2383"/>
      <c r="AF5" s="2384"/>
      <c r="AG5" s="2382">
        <f>INDEX(PT_DIFFERENTIATION_IST_TE,MATCH(D5,PT_DIFFERENTIATION_IST_TE_ID,0))</f>
      </c>
      <c r="AH5" s="2383"/>
      <c r="AI5" s="2383"/>
      <c r="AJ5" s="2383"/>
      <c r="AK5" s="2383"/>
      <c r="AL5" s="2383"/>
      <c r="AM5" s="2383"/>
      <c r="AN5" s="2383"/>
      <c r="AO5" s="2383"/>
      <c r="AP5" s="2384"/>
      <c r="AQ5" s="1484" t="s">
        <v>508</v>
      </c>
      <c r="AS5" s="722"/>
      <c r="AT5" s="722" t="str">
        <f>IF(V5="","",V5)</f>
        <v>Источник тепловой энергии  </v>
      </c>
      <c r="AU5" s="722"/>
      <c r="AV5" s="722"/>
    </row>
    <row customHeight="1" ht="14.25" hidden="1">
      <c r="A6" s="1494"/>
      <c r="B6" s="1494"/>
      <c r="C6" s="1494"/>
      <c r="D6" s="1494"/>
      <c r="E6" s="2424"/>
      <c r="F6" s="2424"/>
      <c r="G6" s="2424"/>
      <c r="H6" s="2424"/>
      <c r="I6" s="2253">
        <f>U5&amp;".1"</f>
      </c>
      <c r="J6" s="1494"/>
      <c r="K6" s="1494"/>
      <c r="L6" s="1494"/>
      <c r="M6" s="1537" t="s">
        <v>509</v>
      </c>
      <c r="N6" s="731"/>
      <c r="Q6" s="2392">
        <v>1</v>
      </c>
      <c r="R6" s="1558"/>
      <c r="S6" s="1558"/>
      <c r="T6" s="578"/>
      <c r="U6" s="1265"/>
      <c r="V6" s="1610"/>
      <c r="W6" s="1611"/>
      <c r="X6" s="2430"/>
      <c r="Y6" s="2431"/>
      <c r="Z6" s="2431"/>
      <c r="AA6" s="2431"/>
      <c r="AB6" s="2431"/>
      <c r="AC6" s="2431"/>
      <c r="AD6" s="2431"/>
      <c r="AE6" s="2431"/>
      <c r="AF6" s="2432"/>
      <c r="AG6" s="2430"/>
      <c r="AH6" s="2431"/>
      <c r="AI6" s="2431"/>
      <c r="AJ6" s="2431"/>
      <c r="AK6" s="2431"/>
      <c r="AL6" s="2431"/>
      <c r="AM6" s="2431"/>
      <c r="AN6" s="2431"/>
      <c r="AO6" s="2431"/>
      <c r="AP6" s="2432"/>
      <c r="AQ6" s="1612"/>
      <c r="AS6" s="722"/>
      <c r="AT6" s="722" t="str">
        <f>IF(V6="","",V6)</f>
        <v/>
      </c>
      <c r="AU6" s="722"/>
      <c r="AV6" s="722"/>
    </row>
    <row customHeight="1" ht="21" hidden="1">
      <c r="A7" s="1494"/>
      <c r="B7" s="1494"/>
      <c r="C7" s="1494"/>
      <c r="D7" s="1494"/>
      <c r="E7" s="2424"/>
      <c r="F7" s="2424"/>
      <c r="G7" s="2424"/>
      <c r="H7" s="2424"/>
      <c r="I7" s="2237"/>
      <c r="J7" s="2253">
        <f>I6&amp;".1"</f>
      </c>
      <c r="K7" s="1494"/>
      <c r="L7" s="1494"/>
      <c r="M7" s="1537" t="s">
        <v>512</v>
      </c>
      <c r="N7" s="731"/>
      <c r="O7" s="549"/>
      <c r="Q7" s="2392"/>
      <c r="R7" s="2392">
        <v>1</v>
      </c>
      <c r="S7" s="740"/>
      <c r="T7" s="579"/>
      <c r="U7" s="1563">
        <f>$J7</f>
      </c>
      <c r="V7" s="508" t="s">
        <v>513</v>
      </c>
      <c r="W7" s="522"/>
      <c r="X7" s="2376"/>
      <c r="Y7" s="2377"/>
      <c r="Z7" s="2377"/>
      <c r="AA7" s="2377"/>
      <c r="AB7" s="2377"/>
      <c r="AC7" s="2369"/>
      <c r="AD7" s="2369"/>
      <c r="AE7" s="2369"/>
      <c r="AF7" s="2452"/>
      <c r="AG7" s="2376"/>
      <c r="AH7" s="2377"/>
      <c r="AI7" s="2377"/>
      <c r="AJ7" s="2377"/>
      <c r="AK7" s="2377"/>
      <c r="AL7" s="2377"/>
      <c r="AM7" s="2377"/>
      <c r="AN7" s="2377"/>
      <c r="AO7" s="2377"/>
      <c r="AP7" s="2378"/>
      <c r="AQ7" s="1484" t="s">
        <v>514</v>
      </c>
      <c r="AS7" s="722"/>
      <c r="AT7" s="722" t="str">
        <f>IF(V7="","",V7)</f>
        <v>Группа потребителей</v>
      </c>
      <c r="AU7" s="722"/>
      <c r="AV7" s="722"/>
    </row>
    <row customHeight="1" ht="21" hidden="1">
      <c r="A8" s="1494"/>
      <c r="B8" s="1494"/>
      <c r="C8" s="1494"/>
      <c r="D8" s="1494"/>
      <c r="E8" s="2424"/>
      <c r="F8" s="2424"/>
      <c r="G8" s="2424"/>
      <c r="H8" s="2424"/>
      <c r="I8" s="2237"/>
      <c r="J8" s="2237"/>
      <c r="K8" s="2253">
        <f>J7&amp;".1"</f>
      </c>
      <c r="L8" s="362"/>
      <c r="M8" s="1537" t="s">
        <v>515</v>
      </c>
      <c r="N8" s="731"/>
      <c r="O8" s="549"/>
      <c r="P8" s="549"/>
      <c r="Q8" s="2392"/>
      <c r="R8" s="2392"/>
      <c r="S8" s="2392">
        <v>1</v>
      </c>
      <c r="T8" s="579"/>
      <c r="U8" s="1563">
        <f>$K8</f>
      </c>
      <c r="V8" s="1574"/>
      <c r="W8" s="522"/>
      <c r="X8" s="973"/>
      <c r="Y8" s="973"/>
      <c r="Z8" s="973"/>
      <c r="AA8" s="973"/>
      <c r="AB8" s="1632"/>
      <c r="AC8" s="2393"/>
      <c r="AD8" s="2263" t="s">
        <v>63</v>
      </c>
      <c r="AE8" s="2393"/>
      <c r="AF8" s="2263" t="s">
        <v>63</v>
      </c>
      <c r="AG8" s="1634"/>
      <c r="AH8" s="973"/>
      <c r="AI8" s="973"/>
      <c r="AJ8" s="973"/>
      <c r="AK8" s="1483"/>
      <c r="AL8" s="2393"/>
      <c r="AM8" s="2263" t="s">
        <v>63</v>
      </c>
      <c r="AN8" s="2393"/>
      <c r="AO8" s="2263" t="s">
        <v>63</v>
      </c>
      <c r="AP8" s="547"/>
      <c r="AQ8" s="1534" t="s">
        <v>555</v>
      </c>
      <c r="AR8" s="733">
        <f>STRCHECKDATE(X10:AP10)</f>
      </c>
      <c r="AS8" s="722"/>
      <c r="AT8" s="722" t="str">
        <f>IF(V8="","",V8)</f>
        <v/>
      </c>
      <c r="AU8" s="722"/>
      <c r="AV8" s="722"/>
    </row>
    <row customHeight="1" ht="21" hidden="1">
      <c r="A9" s="1494"/>
      <c r="B9" s="1494"/>
      <c r="C9" s="1494"/>
      <c r="D9" s="1494"/>
      <c r="E9" s="2424"/>
      <c r="F9" s="2424"/>
      <c r="G9" s="2424"/>
      <c r="H9" s="2424"/>
      <c r="I9" s="2237"/>
      <c r="J9" s="2237"/>
      <c r="K9" s="2237"/>
      <c r="L9" s="2253">
        <f>K8&amp;".1"</f>
      </c>
      <c r="M9" s="1537"/>
      <c r="N9" s="731"/>
      <c r="O9" s="549"/>
      <c r="P9" s="549"/>
      <c r="Q9" s="2392"/>
      <c r="R9" s="2392"/>
      <c r="S9" s="2392"/>
      <c r="T9" s="579"/>
      <c r="U9" s="1563">
        <f>$L9</f>
      </c>
      <c r="V9" s="1618"/>
      <c r="W9" s="522"/>
      <c r="X9" s="547"/>
      <c r="Y9" s="973"/>
      <c r="Z9" s="973"/>
      <c r="AA9" s="973"/>
      <c r="AB9" s="1632"/>
      <c r="AC9" s="2435"/>
      <c r="AD9" s="2263"/>
      <c r="AE9" s="2435"/>
      <c r="AF9" s="2263"/>
      <c r="AG9" s="1634"/>
      <c r="AH9" s="973"/>
      <c r="AI9" s="973"/>
      <c r="AJ9" s="973"/>
      <c r="AK9" s="1483"/>
      <c r="AL9" s="2435"/>
      <c r="AM9" s="2263"/>
      <c r="AN9" s="2435"/>
      <c r="AO9" s="2263"/>
      <c r="AP9" s="547"/>
      <c r="AQ9" s="2418" t="s">
        <v>556</v>
      </c>
      <c r="AS9" s="722"/>
      <c r="AT9" s="722"/>
      <c r="AU9" s="722"/>
      <c r="AV9" s="722"/>
    </row>
    <row customHeight="1" ht="14.25" hidden="1">
      <c r="A10" s="1494"/>
      <c r="B10" s="1494"/>
      <c r="C10" s="1494"/>
      <c r="D10" s="1494"/>
      <c r="E10" s="2424"/>
      <c r="F10" s="2424"/>
      <c r="G10" s="2424"/>
      <c r="H10" s="2424"/>
      <c r="I10" s="2237"/>
      <c r="J10" s="2237"/>
      <c r="K10" s="2237"/>
      <c r="L10" s="2253"/>
      <c r="M10" s="1537"/>
      <c r="N10" s="731"/>
      <c r="O10" s="549"/>
      <c r="P10" s="549"/>
      <c r="Q10" s="2392"/>
      <c r="R10" s="2392"/>
      <c r="S10" s="2392"/>
      <c r="T10" s="579"/>
      <c r="U10" s="1569"/>
      <c r="V10" s="522"/>
      <c r="W10" s="522"/>
      <c r="X10" s="547"/>
      <c r="Y10" s="547"/>
      <c r="Z10" s="547"/>
      <c r="AA10" s="547"/>
      <c r="AB10" s="1633" t="str">
        <f>AC8&amp;"-"&amp;AE8</f>
        <v>-</v>
      </c>
      <c r="AC10" s="2435"/>
      <c r="AD10" s="2263"/>
      <c r="AE10" s="2435"/>
      <c r="AF10" s="2263"/>
      <c r="AG10" s="1609"/>
      <c r="AH10" s="547"/>
      <c r="AI10" s="547"/>
      <c r="AJ10" s="547"/>
      <c r="AK10" s="550" t="str">
        <f>AL8&amp;"-"&amp;AN8</f>
        <v>-</v>
      </c>
      <c r="AL10" s="2435"/>
      <c r="AM10" s="2263"/>
      <c r="AN10" s="2435"/>
      <c r="AO10" s="2263"/>
      <c r="AP10" s="547"/>
      <c r="AQ10" s="2419"/>
      <c r="AS10" s="722"/>
      <c r="AT10" s="722" t="str">
        <f>IF(V10="","",V10)</f>
        <v/>
      </c>
      <c r="AU10" s="722"/>
      <c r="AV10" s="722"/>
    </row>
    <row customHeight="1" ht="11.25" hidden="1">
      <c r="A11" s="1494"/>
      <c r="B11" s="1494"/>
      <c r="C11" s="1494"/>
      <c r="D11" s="1494"/>
      <c r="E11" s="2424"/>
      <c r="F11" s="2424"/>
      <c r="G11" s="2424"/>
      <c r="H11" s="2424"/>
      <c r="I11" s="2237"/>
      <c r="J11" s="2237"/>
      <c r="K11" s="2253"/>
      <c r="L11" s="1494"/>
      <c r="M11" s="1537"/>
      <c r="N11" s="731"/>
      <c r="O11" s="549"/>
      <c r="P11" s="549"/>
      <c r="Q11" s="2392"/>
      <c r="R11" s="2392"/>
      <c r="S11" s="2392"/>
      <c r="T11" s="579"/>
      <c r="U11" s="1505"/>
      <c r="V11" s="510" t="s">
        <v>557</v>
      </c>
      <c r="W11" s="1619"/>
      <c r="X11" s="1620"/>
      <c r="Y11" s="1620"/>
      <c r="Z11" s="1620"/>
      <c r="AA11" s="1620"/>
      <c r="AB11" s="1621"/>
      <c r="AC11" s="2435"/>
      <c r="AD11" s="2263"/>
      <c r="AE11" s="2435"/>
      <c r="AF11" s="2263"/>
      <c r="AG11" s="1620"/>
      <c r="AH11" s="1620"/>
      <c r="AI11" s="1620"/>
      <c r="AJ11" s="1620"/>
      <c r="AK11" s="1621"/>
      <c r="AL11" s="2435"/>
      <c r="AM11" s="2263"/>
      <c r="AN11" s="2435"/>
      <c r="AO11" s="2263"/>
      <c r="AP11" s="1622"/>
      <c r="AQ11" s="2419"/>
      <c r="AS11" s="722"/>
      <c r="AT11" s="722"/>
      <c r="AU11" s="722"/>
      <c r="AV11" s="722"/>
    </row>
    <row customHeight="1" ht="15" hidden="1">
      <c r="A12" s="1494"/>
      <c r="B12" s="1494"/>
      <c r="C12" s="1494"/>
      <c r="D12" s="1494"/>
      <c r="E12" s="2424"/>
      <c r="F12" s="2424"/>
      <c r="G12" s="2424"/>
      <c r="H12" s="2424"/>
      <c r="I12" s="2237"/>
      <c r="J12" s="2253"/>
      <c r="K12" s="1494"/>
      <c r="L12" s="1494"/>
      <c r="M12" s="1537"/>
      <c r="N12" s="731"/>
      <c r="O12" s="549"/>
      <c r="Q12" s="2392"/>
      <c r="R12" s="2392"/>
      <c r="S12" s="1558"/>
      <c r="T12" s="578"/>
      <c r="U12" s="1505"/>
      <c r="V12" s="509" t="s">
        <v>517</v>
      </c>
      <c r="W12" s="589"/>
      <c r="X12" s="589"/>
      <c r="Y12" s="589"/>
      <c r="Z12" s="589"/>
      <c r="AA12" s="589"/>
      <c r="AB12" s="589"/>
      <c r="AC12" s="1635"/>
      <c r="AD12" s="1635"/>
      <c r="AE12" s="1635"/>
      <c r="AF12" s="1635"/>
      <c r="AG12" s="589"/>
      <c r="AH12" s="589"/>
      <c r="AI12" s="589"/>
      <c r="AJ12" s="589"/>
      <c r="AK12" s="589"/>
      <c r="AL12" s="589"/>
      <c r="AM12" s="589"/>
      <c r="AN12" s="589"/>
      <c r="AO12" s="589"/>
      <c r="AP12" s="546"/>
      <c r="AQ12" s="2420"/>
      <c r="AS12" s="722"/>
      <c r="AT12" s="722" t="str">
        <f>IF(V12="","",V12)</f>
        <v>Добавить вид теплоносителя (параметры теплоносителя)</v>
      </c>
      <c r="AU12" s="722"/>
      <c r="AV12" s="722"/>
    </row>
    <row customHeight="1" ht="11.25" hidden="1">
      <c r="A13" s="1494"/>
      <c r="B13" s="1494"/>
      <c r="C13" s="1494"/>
      <c r="D13" s="1494"/>
      <c r="E13" s="2424"/>
      <c r="F13" s="2424"/>
      <c r="G13" s="2424"/>
      <c r="H13" s="2424"/>
      <c r="I13" s="2253"/>
      <c r="J13" s="1494"/>
      <c r="K13" s="1494"/>
      <c r="L13" s="1494"/>
      <c r="M13" s="1537"/>
      <c r="N13" s="731"/>
      <c r="Q13" s="2392"/>
      <c r="R13" s="1558"/>
      <c r="S13" s="1558"/>
      <c r="T13" s="578"/>
      <c r="U13" s="1505"/>
      <c r="V13" s="587" t="s">
        <v>518</v>
      </c>
      <c r="W13" s="589"/>
      <c r="X13" s="589"/>
      <c r="Y13" s="589"/>
      <c r="Z13" s="589"/>
      <c r="AA13" s="589"/>
      <c r="AB13" s="589"/>
      <c r="AC13" s="589"/>
      <c r="AD13" s="589"/>
      <c r="AE13" s="589"/>
      <c r="AF13" s="588"/>
      <c r="AG13" s="589"/>
      <c r="AH13" s="589"/>
      <c r="AI13" s="589"/>
      <c r="AJ13" s="589"/>
      <c r="AK13" s="589"/>
      <c r="AL13" s="589"/>
      <c r="AM13" s="589"/>
      <c r="AN13" s="589"/>
      <c r="AO13" s="588"/>
      <c r="AP13" s="589"/>
      <c r="AQ13" s="525"/>
      <c r="AS13" s="722"/>
      <c r="AT13" s="722" t="str">
        <f>IF(V13="","",V13)</f>
        <v>Добавить группу потребителей</v>
      </c>
      <c r="AU13" s="722"/>
      <c r="AV13" s="722"/>
    </row>
    <row customHeight="1" ht="14.25" hidden="1">
      <c r="A14" s="1494"/>
      <c r="B14" s="1494"/>
      <c r="C14" s="1494"/>
      <c r="D14" s="1494"/>
      <c r="E14" s="2424"/>
      <c r="F14" s="2424"/>
      <c r="G14" s="2424"/>
      <c r="H14" s="2423"/>
      <c r="I14" s="1494"/>
      <c r="J14" s="1494"/>
      <c r="K14" s="1494"/>
      <c r="L14" s="1494"/>
      <c r="M14" s="1537"/>
      <c r="N14" s="910"/>
      <c r="O14" s="910"/>
      <c r="P14" s="731"/>
      <c r="Q14" s="582"/>
      <c r="R14" s="597"/>
      <c r="S14" s="577"/>
      <c r="T14" s="582"/>
      <c r="U14" s="1613"/>
      <c r="V14" s="1614"/>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6"/>
      <c r="AS14" s="722"/>
      <c r="AT14" s="722" t="str">
        <f>IF(V14="","",V14)</f>
        <v/>
      </c>
      <c r="AU14" s="722"/>
      <c r="AV14" s="722"/>
    </row>
    <row s="16531" customFormat="1" customHeight="1" ht="14.25" hidden="1">
      <c r="A15" s="1601"/>
      <c r="B15" s="1601"/>
      <c r="C15" s="1601"/>
      <c r="D15" s="1601"/>
      <c r="E15" s="2424"/>
      <c r="F15" s="2424"/>
      <c r="G15" s="2423"/>
      <c r="H15" s="1601"/>
      <c r="I15" s="1601"/>
      <c r="J15" s="1601"/>
      <c r="K15" s="1601"/>
      <c r="L15" s="1601"/>
      <c r="M15" s="1604"/>
      <c r="N15" s="1605"/>
      <c r="O15" s="1605"/>
      <c r="P15" s="573"/>
      <c r="Q15" s="1543"/>
      <c r="R15" s="1544"/>
      <c r="S15" s="1543"/>
      <c r="T15" s="1543"/>
      <c r="U15" s="1545"/>
      <c r="V15" s="1546" t="s">
        <v>520</v>
      </c>
      <c r="W15" s="1547"/>
      <c r="X15" s="1547"/>
      <c r="Y15" s="1547"/>
      <c r="Z15" s="1547"/>
      <c r="AA15" s="1547"/>
      <c r="AB15" s="1547"/>
      <c r="AC15" s="1547"/>
      <c r="AD15" s="1547"/>
      <c r="AE15" s="1547"/>
      <c r="AF15" s="1547"/>
      <c r="AG15" s="1547"/>
      <c r="AH15" s="1547"/>
      <c r="AI15" s="1547"/>
      <c r="AJ15" s="1547"/>
      <c r="AK15" s="1547"/>
      <c r="AL15" s="1547"/>
      <c r="AM15" s="1547"/>
      <c r="AN15" s="1547"/>
      <c r="AO15" s="1547"/>
      <c r="AP15" s="1547"/>
      <c r="AQ15" s="1547"/>
      <c r="AS15" s="1011"/>
      <c r="AT15" s="1011" t="str">
        <f>IF(V15="","",V15)</f>
        <v>Добавить источник для дифференциации</v>
      </c>
      <c r="AU15" s="1011"/>
      <c r="AV15" s="1011"/>
    </row>
    <row s="16531" customFormat="1" customHeight="1" ht="14.25" hidden="1">
      <c r="A16" s="1601"/>
      <c r="B16" s="1601"/>
      <c r="C16" s="1601"/>
      <c r="D16" s="1601"/>
      <c r="E16" s="2424"/>
      <c r="F16" s="2423"/>
      <c r="G16" s="1601"/>
      <c r="H16" s="1601"/>
      <c r="I16" s="1601"/>
      <c r="J16" s="1601"/>
      <c r="K16" s="1601"/>
      <c r="L16" s="1601"/>
      <c r="M16" s="1604"/>
      <c r="N16" s="1606"/>
      <c r="O16" s="1606"/>
      <c r="P16" s="573"/>
      <c r="Q16" s="1543"/>
      <c r="R16" s="1544"/>
      <c r="S16" s="1543"/>
      <c r="T16" s="1543"/>
      <c r="U16" s="1549"/>
      <c r="V16" s="1550" t="s">
        <v>305</v>
      </c>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S16" s="1011"/>
      <c r="AT16" s="1011" t="str">
        <f>IF(V16="","",V16)</f>
        <v>Добавить централизованную систему для дифференциации</v>
      </c>
      <c r="AU16" s="1011"/>
      <c r="AV16" s="1011"/>
    </row>
    <row s="16531" customFormat="1" customHeight="1" ht="14.25" hidden="1">
      <c r="A17" s="1601"/>
      <c r="B17" s="1601"/>
      <c r="C17" s="1601"/>
      <c r="D17" s="1601"/>
      <c r="E17" s="2423"/>
      <c r="F17" s="1601"/>
      <c r="G17" s="1601"/>
      <c r="H17" s="1601"/>
      <c r="I17" s="1601"/>
      <c r="J17" s="1601"/>
      <c r="K17" s="1601"/>
      <c r="L17" s="1601"/>
      <c r="M17" s="1604"/>
      <c r="N17" s="1606"/>
      <c r="O17" s="1606"/>
      <c r="P17" s="573"/>
      <c r="Q17" s="1543"/>
      <c r="R17" s="1544"/>
      <c r="S17" s="1543"/>
      <c r="T17" s="1543"/>
      <c r="U17" s="1549"/>
      <c r="V17" s="1552" t="s">
        <v>358</v>
      </c>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S17" s="1011"/>
      <c r="AT17" s="1011" t="str">
        <f>IF(V17="","",V17)</f>
        <v>Добавить территорию для дифференциации</v>
      </c>
      <c r="AU17" s="1011"/>
      <c r="AV17" s="1011"/>
    </row>
    <row customHeight="1" ht="14.25" hidden="1">
      <c r="AF18" s="549"/>
      <c r="AO18" s="549"/>
    </row>
    <row customHeight="1" ht="14.25" hidden="1">
      <c r="AG19" s="1587"/>
      <c r="AH19" s="1587"/>
      <c r="AI19" s="1587"/>
      <c r="AJ19" s="1587"/>
      <c r="AK19" s="1588"/>
      <c r="AL19" s="2386"/>
      <c r="AM19" s="2385" t="s">
        <v>63</v>
      </c>
      <c r="AN19" s="2386"/>
      <c r="AO19" s="2385" t="s">
        <v>63</v>
      </c>
    </row>
    <row customHeight="1" ht="14.25" hidden="1">
      <c r="AG20" s="1587"/>
      <c r="AH20" s="1587"/>
      <c r="AI20" s="1587"/>
      <c r="AJ20" s="1587"/>
      <c r="AK20" s="1588"/>
      <c r="AL20" s="2386"/>
      <c r="AM20" s="2385"/>
      <c r="AN20" s="2386"/>
      <c r="AO20" s="2385"/>
    </row>
    <row customHeight="1" ht="14.25" hidden="1">
      <c r="AG21" s="1587"/>
      <c r="AH21" s="1587"/>
      <c r="AI21" s="1587"/>
      <c r="AJ21" s="1587"/>
      <c r="AK21" s="1588"/>
      <c r="AL21" s="2386"/>
      <c r="AM21" s="2385"/>
      <c r="AN21" s="2386"/>
      <c r="AO21" s="2385"/>
    </row>
    <row customHeight="1" ht="14.25" hidden="1">
      <c r="AG22" s="1587"/>
      <c r="AH22" s="1587"/>
      <c r="AI22" s="1587"/>
      <c r="AJ22" s="1587"/>
      <c r="AK22" s="550" t="str">
        <f>AL19&amp;"-"&amp;AN19</f>
        <v>-</v>
      </c>
      <c r="AL22" s="2385"/>
      <c r="AM22" s="2385"/>
      <c r="AN22" s="2385"/>
      <c r="AO22" s="2385"/>
    </row>
    <row customHeight="1" ht="14.25" hidden="1">
      <c r="AO23" s="549"/>
    </row>
    <row s="16550" customFormat="1" customHeight="1" ht="22.5" hidden="1">
      <c r="A24" s="1379"/>
      <c r="B24" s="1379"/>
      <c r="C24" s="1379"/>
      <c r="D24" s="1379"/>
      <c r="E24" s="1379"/>
      <c r="F24" s="1379"/>
      <c r="G24" s="1379"/>
      <c r="H24" s="1379"/>
      <c r="I24" s="1379"/>
      <c r="J24" s="1379"/>
      <c r="K24" s="1379"/>
      <c r="L24" s="1379"/>
      <c r="M24" s="1554"/>
      <c r="N24" s="1555"/>
      <c r="O24" s="1555"/>
      <c r="P24" s="1572" t="s">
        <v>521</v>
      </c>
      <c r="Q24" s="1589"/>
      <c r="R24" s="1598"/>
      <c r="S24" s="1598"/>
      <c r="T24" s="1598"/>
      <c r="U24" s="951"/>
      <c r="AC24" s="1594"/>
      <c r="AE24" s="1594"/>
      <c r="AF24" s="1593"/>
      <c r="AL24" s="1594"/>
      <c r="AN24" s="1594"/>
      <c r="AO24" s="1593"/>
      <c r="AR24" s="733"/>
      <c r="AS24" s="733"/>
      <c r="AT24" s="733"/>
      <c r="AU24" s="733"/>
      <c r="AV24" s="733"/>
    </row>
    <row s="16550" customFormat="1" customHeight="1" ht="14.25" hidden="1">
      <c r="A25" s="1379"/>
      <c r="B25" s="1379"/>
      <c r="C25" s="1379"/>
      <c r="D25" s="1379"/>
      <c r="E25" s="1379"/>
      <c r="F25" s="1379"/>
      <c r="G25" s="1379"/>
      <c r="H25" s="1379"/>
      <c r="I25" s="1379"/>
      <c r="J25" s="1379"/>
      <c r="K25" s="1379"/>
      <c r="L25" s="1379"/>
      <c r="M25" s="1554"/>
      <c r="N25" s="1555"/>
      <c r="O25" s="1555"/>
      <c r="P25" s="1555"/>
      <c r="Q25" s="1589"/>
      <c r="R25" s="1598"/>
      <c r="S25" s="1598"/>
      <c r="T25" s="1598"/>
      <c r="U25" s="951"/>
      <c r="AF25" s="1593"/>
      <c r="AO25" s="1593"/>
      <c r="AR25" s="733"/>
      <c r="AS25" s="733"/>
      <c r="AT25" s="733"/>
      <c r="AU25" s="733"/>
      <c r="AV25" s="733"/>
    </row>
    <row s="16550" customFormat="1" customHeight="1" ht="14.25" hidden="1">
      <c r="A26" s="1379"/>
      <c r="B26" s="1379"/>
      <c r="C26" s="1379"/>
      <c r="D26" s="1379"/>
      <c r="E26" s="1379"/>
      <c r="F26" s="1379"/>
      <c r="G26" s="1379"/>
      <c r="H26" s="1379"/>
      <c r="I26" s="1379"/>
      <c r="J26" s="1379"/>
      <c r="K26" s="1379"/>
      <c r="L26" s="1379"/>
      <c r="M26" s="1554"/>
      <c r="N26" s="1555"/>
      <c r="O26" s="1555"/>
      <c r="P26" s="1537" t="s">
        <v>522</v>
      </c>
      <c r="Q26" s="1589"/>
      <c r="R26" s="1598"/>
      <c r="S26" s="1598"/>
      <c r="T26" s="1598"/>
      <c r="U26" s="951"/>
      <c r="V26" s="1384" t="s">
        <v>523</v>
      </c>
      <c r="AD26" s="408" t="s">
        <v>524</v>
      </c>
      <c r="AF26" s="408" t="s">
        <v>525</v>
      </c>
      <c r="AG26" s="1384" t="s">
        <v>523</v>
      </c>
      <c r="AM26" s="408" t="s">
        <v>526</v>
      </c>
      <c r="AO26" s="408" t="s">
        <v>525</v>
      </c>
      <c r="AR26" s="733"/>
      <c r="AS26" s="733"/>
      <c r="AT26" s="733"/>
      <c r="AU26" s="733"/>
      <c r="AV26" s="733"/>
    </row>
    <row customHeight="1" ht="14.25" hidden="1">
      <c r="P27" s="1537"/>
    </row>
    <row customHeight="1" ht="14.25" hidden="1">
      <c r="P28" s="1537"/>
    </row>
    <row customHeight="1" ht="14.25">
      <c r="R29" s="598"/>
      <c r="S29" s="598"/>
      <c r="T29" s="598"/>
      <c r="U29" s="1502"/>
      <c r="V29" s="585"/>
      <c r="W29" s="585"/>
      <c r="X29" s="731"/>
      <c r="Y29" s="731"/>
      <c r="Z29" s="731"/>
      <c r="AA29" s="731"/>
      <c r="AB29" s="731"/>
      <c r="AC29" s="731"/>
      <c r="AD29" s="731"/>
      <c r="AE29" s="731"/>
      <c r="AF29" s="731"/>
      <c r="AG29" s="731"/>
      <c r="AH29" s="731"/>
      <c r="AI29" s="731"/>
      <c r="AJ29" s="731"/>
      <c r="AK29" s="731"/>
      <c r="AL29" s="731"/>
      <c r="AM29" s="731"/>
      <c r="AN29" s="731"/>
      <c r="AO29" s="731"/>
    </row>
    <row customHeight="1" ht="54">
      <c r="R30" s="598"/>
      <c r="S30" s="598"/>
      <c r="T30" s="598"/>
      <c r="U30" s="242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21"/>
      <c r="W30" s="2421"/>
      <c r="X30" s="2421"/>
      <c r="Y30" s="2421"/>
      <c r="Z30" s="2421"/>
      <c r="AA30" s="2421"/>
      <c r="AB30" s="2421"/>
      <c r="AC30" s="2421"/>
      <c r="AD30" s="2421"/>
      <c r="AE30" s="2421"/>
      <c r="AF30" s="2421"/>
      <c r="AG30" s="2421"/>
      <c r="AH30" s="2421"/>
      <c r="AI30" s="2421"/>
      <c r="AJ30" s="2421"/>
      <c r="AK30" s="2421"/>
      <c r="AL30" s="2421"/>
      <c r="AM30" s="2421"/>
      <c r="AN30" s="2421"/>
      <c r="AO30" s="1469"/>
    </row>
    <row customHeight="1" ht="14.25">
      <c r="R31" s="598"/>
      <c r="S31" s="598"/>
      <c r="T31" s="598"/>
      <c r="U31" s="2422" t="str">
        <f>IF(org=0,"Не определено",org)</f>
        <v>КГУП "Примтеплоэнерго"</v>
      </c>
      <c r="V31" s="2422"/>
      <c r="W31" s="2422"/>
      <c r="X31" s="2422"/>
      <c r="Y31" s="2422"/>
      <c r="Z31" s="2422"/>
      <c r="AA31" s="2422"/>
      <c r="AB31" s="2422"/>
      <c r="AC31" s="2422"/>
      <c r="AD31" s="2422"/>
      <c r="AE31" s="2422"/>
      <c r="AF31" s="2422"/>
      <c r="AG31" s="2422"/>
      <c r="AH31" s="2422"/>
      <c r="AI31" s="2422"/>
      <c r="AJ31" s="2422"/>
      <c r="AK31" s="2422"/>
      <c r="AL31" s="2422"/>
      <c r="AM31" s="2422"/>
      <c r="AN31" s="2422"/>
      <c r="AO31" s="1469"/>
    </row>
    <row customHeight="1" ht="14.25" hidden="1">
      <c r="R32" s="598"/>
      <c r="S32" s="598"/>
      <c r="T32" s="598"/>
      <c r="U32" s="1502"/>
      <c r="V32" s="585"/>
      <c r="W32" s="585"/>
      <c r="X32" s="544"/>
      <c r="Y32" s="544"/>
      <c r="Z32" s="544"/>
      <c r="AA32" s="544"/>
      <c r="AB32" s="544"/>
      <c r="AC32" s="544"/>
      <c r="AD32" s="544"/>
      <c r="AE32" s="544"/>
      <c r="AF32" s="544"/>
      <c r="AG32" s="544"/>
      <c r="AH32" s="544"/>
      <c r="AI32" s="544"/>
      <c r="AJ32" s="544"/>
      <c r="AK32" s="544"/>
      <c r="AL32" s="544"/>
      <c r="AM32" s="544"/>
      <c r="AN32" s="544"/>
      <c r="AO32" s="544"/>
      <c r="AP32" s="731"/>
    </row>
    <row s="16563" customFormat="1" customHeight="1" ht="25.5" hidden="1">
      <c r="A33" s="1474"/>
      <c r="B33" s="1474"/>
      <c r="C33" s="1474"/>
      <c r="D33" s="1474"/>
      <c r="E33" s="1474"/>
      <c r="F33" s="1474"/>
      <c r="G33" s="1474"/>
      <c r="H33" s="1474"/>
      <c r="I33" s="1474"/>
      <c r="J33" s="1474"/>
      <c r="K33" s="1474"/>
      <c r="L33" s="1474"/>
      <c r="M33" s="1607"/>
      <c r="N33" s="1474"/>
      <c r="O33" s="1474"/>
      <c r="P33" s="1474"/>
      <c r="U33" s="2379" t="s">
        <v>38</v>
      </c>
      <c r="V33" s="2379"/>
      <c r="W33" s="1599"/>
      <c r="X33" s="2381" t="str">
        <f>IF(TITLE_NAME_OR_PR_CHANGE="",IF(TITLE_NAME_OR_PR="","",TITLE_NAME_OR_PR),TITLE_NAME_OR_PR_CHANGE)</f>
        <v/>
      </c>
      <c r="Y33" s="2381"/>
      <c r="Z33" s="2381"/>
      <c r="AA33" s="2381"/>
      <c r="AB33" s="2381"/>
      <c r="AC33" s="2381"/>
      <c r="AD33" s="2381"/>
      <c r="AE33" s="2381"/>
      <c r="AF33" s="548"/>
      <c r="AG33" s="2381" t="str">
        <f>IF(TITLE_NAME_OR_PR_CHANGE="",IF(TITLE_NAME_OR_PR="","",TITLE_NAME_OR_PR),TITLE_NAME_OR_PR_CHANGE)</f>
        <v/>
      </c>
      <c r="AH33" s="2381"/>
      <c r="AI33" s="2381"/>
      <c r="AJ33" s="2381"/>
      <c r="AK33" s="2381"/>
      <c r="AL33" s="2381"/>
      <c r="AM33" s="2381"/>
      <c r="AN33" s="2381"/>
      <c r="AO33" s="548"/>
      <c r="AP33" s="548"/>
      <c r="AQ33" s="502"/>
      <c r="AR33" s="590"/>
      <c r="AS33" s="590"/>
      <c r="AT33" s="590"/>
      <c r="AU33" s="590"/>
      <c r="AV33" s="590"/>
    </row>
    <row s="16563" customFormat="1" customHeight="1" ht="18.75" hidden="1">
      <c r="A34" s="1474"/>
      <c r="B34" s="1474"/>
      <c r="C34" s="1474"/>
      <c r="D34" s="1474"/>
      <c r="E34" s="1474"/>
      <c r="F34" s="1474"/>
      <c r="G34" s="1474"/>
      <c r="H34" s="1474"/>
      <c r="I34" s="1474"/>
      <c r="J34" s="1474"/>
      <c r="K34" s="1474"/>
      <c r="L34" s="1474"/>
      <c r="M34" s="1607"/>
      <c r="N34" s="1474"/>
      <c r="O34" s="1474"/>
      <c r="P34" s="1474"/>
      <c r="U34" s="2379" t="s">
        <v>527</v>
      </c>
      <c r="V34" s="2379"/>
      <c r="W34" s="1599"/>
      <c r="X34" s="2380" t="str">
        <f>IF(TITLE_DATE_PR_CHANGE="",IF(TITLE_DATE_PR="","",TITLE_DATE_PR),TITLE_DATE_PR_CHANGE)</f>
        <v>45407.47206018519</v>
      </c>
      <c r="Y34" s="2380"/>
      <c r="Z34" s="2380"/>
      <c r="AA34" s="2380"/>
      <c r="AB34" s="2380"/>
      <c r="AC34" s="2380"/>
      <c r="AD34" s="2380"/>
      <c r="AE34" s="2380"/>
      <c r="AF34" s="548"/>
      <c r="AG34" s="2380" t="str">
        <f>IF(TITLE_DATE_PR_CHANGE="",IF(TITLE_DATE_PR="","",TITLE_DATE_PR),TITLE_DATE_PR_CHANGE)</f>
        <v>45407.47206018519</v>
      </c>
      <c r="AH34" s="2380"/>
      <c r="AI34" s="2380"/>
      <c r="AJ34" s="2380"/>
      <c r="AK34" s="2380"/>
      <c r="AL34" s="2380"/>
      <c r="AM34" s="2380"/>
      <c r="AN34" s="2380"/>
      <c r="AO34" s="548"/>
      <c r="AP34" s="548"/>
      <c r="AQ34" s="502"/>
      <c r="AR34" s="590"/>
      <c r="AS34" s="590"/>
      <c r="AT34" s="590"/>
      <c r="AU34" s="590"/>
      <c r="AV34" s="590"/>
    </row>
    <row s="16563" customFormat="1" customHeight="1" ht="18.75" hidden="1">
      <c r="A35" s="1474"/>
      <c r="B35" s="1474"/>
      <c r="C35" s="1474"/>
      <c r="D35" s="1474"/>
      <c r="E35" s="1474"/>
      <c r="F35" s="1474"/>
      <c r="G35" s="1474"/>
      <c r="H35" s="1474"/>
      <c r="I35" s="1474"/>
      <c r="J35" s="1474"/>
      <c r="K35" s="1474"/>
      <c r="L35" s="1474"/>
      <c r="M35" s="1607"/>
      <c r="N35" s="1474"/>
      <c r="O35" s="1474"/>
      <c r="P35" s="1474"/>
      <c r="U35" s="2379" t="s">
        <v>528</v>
      </c>
      <c r="V35" s="2379"/>
      <c r="W35" s="1599"/>
      <c r="X35" s="2381" t="str">
        <f>IF(TITLE_NUMBER_PR_CHANGE="",IF(TITLE_NUMBER_PR="","",TITLE_NUMBER_PR),TITLE_NUMBER_PR_CHANGE)</f>
        <v>27-2067</v>
      </c>
      <c r="Y35" s="2381"/>
      <c r="Z35" s="2381"/>
      <c r="AA35" s="2381"/>
      <c r="AB35" s="2381"/>
      <c r="AC35" s="2381"/>
      <c r="AD35" s="2381"/>
      <c r="AE35" s="2381"/>
      <c r="AF35" s="548"/>
      <c r="AG35" s="2381" t="str">
        <f>IF(TITLE_NUMBER_PR_CHANGE="",IF(TITLE_NUMBER_PR="","",TITLE_NUMBER_PR),TITLE_NUMBER_PR_CHANGE)</f>
        <v>27-2067</v>
      </c>
      <c r="AH35" s="2381"/>
      <c r="AI35" s="2381"/>
      <c r="AJ35" s="2381"/>
      <c r="AK35" s="2381"/>
      <c r="AL35" s="2381"/>
      <c r="AM35" s="2381"/>
      <c r="AN35" s="2381"/>
      <c r="AO35" s="548"/>
      <c r="AP35" s="548"/>
      <c r="AQ35" s="502"/>
      <c r="AR35" s="590"/>
      <c r="AS35" s="590"/>
      <c r="AT35" s="590"/>
      <c r="AU35" s="590"/>
      <c r="AV35" s="590"/>
    </row>
    <row s="16563" customFormat="1" customHeight="1" ht="18.75" hidden="1">
      <c r="A36" s="1474"/>
      <c r="B36" s="1474"/>
      <c r="C36" s="1474"/>
      <c r="D36" s="1474"/>
      <c r="E36" s="1474"/>
      <c r="F36" s="1474"/>
      <c r="G36" s="1474"/>
      <c r="H36" s="1474"/>
      <c r="I36" s="1474"/>
      <c r="J36" s="1474"/>
      <c r="K36" s="1474"/>
      <c r="L36" s="1474"/>
      <c r="M36" s="1607"/>
      <c r="N36" s="1474"/>
      <c r="O36" s="1474"/>
      <c r="P36" s="1474"/>
      <c r="U36" s="2379" t="s">
        <v>39</v>
      </c>
      <c r="V36" s="2379"/>
      <c r="W36" s="1599"/>
      <c r="X36" s="2381" t="str">
        <f>IF(TITLE_IST_PUB_CHANGE="",IF(TITLE_IST_PUB="","",TITLE_IST_PUB),TITLE_IST_PUB_CHANGE)</f>
        <v/>
      </c>
      <c r="Y36" s="2381"/>
      <c r="Z36" s="2381"/>
      <c r="AA36" s="2381"/>
      <c r="AB36" s="2381"/>
      <c r="AC36" s="2381"/>
      <c r="AD36" s="2381"/>
      <c r="AE36" s="2381"/>
      <c r="AF36" s="548"/>
      <c r="AG36" s="2381" t="str">
        <f>IF(TITLE_IST_PUB_CHANGE="",IF(TITLE_IST_PUB="","",TITLE_IST_PUB),TITLE_IST_PUB_CHANGE)</f>
        <v/>
      </c>
      <c r="AH36" s="2381"/>
      <c r="AI36" s="2381"/>
      <c r="AJ36" s="2381"/>
      <c r="AK36" s="2381"/>
      <c r="AL36" s="2381"/>
      <c r="AM36" s="2381"/>
      <c r="AN36" s="2381"/>
      <c r="AO36" s="548"/>
      <c r="AP36" s="548"/>
      <c r="AQ36" s="502"/>
      <c r="AR36" s="590"/>
      <c r="AS36" s="590"/>
      <c r="AT36" s="590"/>
      <c r="AU36" s="590"/>
      <c r="AV36" s="590"/>
    </row>
    <row customHeight="1" ht="14.25">
      <c r="R37" s="598"/>
      <c r="S37" s="598"/>
      <c r="T37" s="598"/>
      <c r="U37" s="1502"/>
      <c r="V37" s="585"/>
      <c r="W37" s="585"/>
      <c r="X37" s="544"/>
      <c r="Y37" s="544"/>
      <c r="Z37" s="544"/>
      <c r="AA37" s="544"/>
      <c r="AB37" s="544"/>
      <c r="AC37" s="544"/>
      <c r="AD37" s="544"/>
      <c r="AE37" s="544"/>
      <c r="AF37" s="544"/>
      <c r="AG37" s="544"/>
      <c r="AH37" s="544"/>
      <c r="AI37" s="544"/>
      <c r="AJ37" s="544"/>
      <c r="AK37" s="544"/>
      <c r="AL37" s="544"/>
      <c r="AM37" s="544"/>
      <c r="AN37" s="544"/>
      <c r="AO37" s="544"/>
      <c r="AP37" s="731"/>
    </row>
    <row s="16563" customFormat="1" customHeight="1" ht="18.75">
      <c r="A38" s="1474"/>
      <c r="B38" s="1474"/>
      <c r="C38" s="1474"/>
      <c r="D38" s="1474"/>
      <c r="E38" s="1474"/>
      <c r="F38" s="1474"/>
      <c r="G38" s="1474"/>
      <c r="H38" s="1474"/>
      <c r="I38" s="1474"/>
      <c r="J38" s="1474"/>
      <c r="K38" s="1474"/>
      <c r="L38" s="1474"/>
      <c r="M38" s="1607"/>
      <c r="N38" s="1474"/>
      <c r="O38" s="1474"/>
      <c r="P38" s="1474"/>
      <c r="U38" s="2379" t="s">
        <v>529</v>
      </c>
      <c r="V38" s="2379"/>
      <c r="W38" s="1599"/>
      <c r="X38" s="2380" t="str">
        <f>IF(TITLE_DATE_PR_CHANGE="",IF(TITLE_DATE_PR="","",TITLE_DATE_PR),TITLE_DATE_PR_CHANGE)</f>
        <v>45407.47206018519</v>
      </c>
      <c r="Y38" s="2380"/>
      <c r="Z38" s="2380"/>
      <c r="AA38" s="2380"/>
      <c r="AB38" s="2380"/>
      <c r="AC38" s="2380"/>
      <c r="AD38" s="2380"/>
      <c r="AE38" s="2380"/>
      <c r="AF38" s="548"/>
      <c r="AG38" s="2380" t="str">
        <f>IF(TITLE_DATE_PR_CHANGE="",IF(TITLE_DATE_PR="","",TITLE_DATE_PR),TITLE_DATE_PR_CHANGE)</f>
        <v>45407.47206018519</v>
      </c>
      <c r="AH38" s="2380"/>
      <c r="AI38" s="2380"/>
      <c r="AJ38" s="2380"/>
      <c r="AK38" s="2380"/>
      <c r="AL38" s="2380"/>
      <c r="AM38" s="2380"/>
      <c r="AN38" s="2380"/>
      <c r="AO38" s="548"/>
      <c r="AP38" s="548"/>
      <c r="AQ38" s="502"/>
      <c r="AR38" s="590"/>
      <c r="AS38" s="590"/>
      <c r="AT38" s="590"/>
      <c r="AU38" s="590"/>
      <c r="AV38" s="590"/>
    </row>
    <row s="16563" customFormat="1" customHeight="1" ht="18.75">
      <c r="A39" s="1474"/>
      <c r="B39" s="1474"/>
      <c r="C39" s="1474"/>
      <c r="D39" s="1474"/>
      <c r="E39" s="1474"/>
      <c r="F39" s="1474"/>
      <c r="G39" s="1474"/>
      <c r="H39" s="1474"/>
      <c r="I39" s="1474"/>
      <c r="J39" s="1474"/>
      <c r="K39" s="1474"/>
      <c r="L39" s="1474"/>
      <c r="M39" s="1607"/>
      <c r="N39" s="1474"/>
      <c r="O39" s="1474"/>
      <c r="P39" s="1474"/>
      <c r="U39" s="2379" t="s">
        <v>530</v>
      </c>
      <c r="V39" s="2379"/>
      <c r="W39" s="1599"/>
      <c r="X39" s="2381" t="str">
        <f>IF(TITLE_NUMBER_PR_CHANGE="",IF(TITLE_NUMBER_PR="","",TITLE_NUMBER_PR),TITLE_NUMBER_PR_CHANGE)</f>
        <v>27-2067</v>
      </c>
      <c r="Y39" s="2381"/>
      <c r="Z39" s="2381"/>
      <c r="AA39" s="2381"/>
      <c r="AB39" s="2381"/>
      <c r="AC39" s="2381"/>
      <c r="AD39" s="2381"/>
      <c r="AE39" s="2381"/>
      <c r="AF39" s="548"/>
      <c r="AG39" s="2381" t="str">
        <f>IF(TITLE_NUMBER_PR_CHANGE="",IF(TITLE_NUMBER_PR="","",TITLE_NUMBER_PR),TITLE_NUMBER_PR_CHANGE)</f>
        <v>27-2067</v>
      </c>
      <c r="AH39" s="2381"/>
      <c r="AI39" s="2381"/>
      <c r="AJ39" s="2381"/>
      <c r="AK39" s="2381"/>
      <c r="AL39" s="2381"/>
      <c r="AM39" s="2381"/>
      <c r="AN39" s="2381"/>
      <c r="AO39" s="548"/>
      <c r="AP39" s="548"/>
      <c r="AQ39" s="502"/>
      <c r="AR39" s="590"/>
      <c r="AS39" s="590"/>
      <c r="AT39" s="590"/>
      <c r="AU39" s="590"/>
      <c r="AV39" s="590"/>
    </row>
    <row s="16563" customFormat="1" customHeight="1" ht="0">
      <c r="A40" s="1474"/>
      <c r="B40" s="1474"/>
      <c r="C40" s="1474"/>
      <c r="D40" s="1474"/>
      <c r="E40" s="1474"/>
      <c r="F40" s="1474"/>
      <c r="G40" s="1474"/>
      <c r="H40" s="1474"/>
      <c r="I40" s="1474"/>
      <c r="J40" s="1474"/>
      <c r="K40" s="1474"/>
      <c r="L40" s="1474"/>
      <c r="M40" s="1607"/>
      <c r="N40" s="1474"/>
      <c r="O40" s="1474"/>
      <c r="P40" s="1474"/>
      <c r="U40" s="545"/>
      <c r="V40" s="545"/>
      <c r="W40" s="1567"/>
      <c r="X40" s="548"/>
      <c r="Y40" s="548"/>
      <c r="Z40" s="548"/>
      <c r="AA40" s="548"/>
      <c r="AB40" s="548"/>
      <c r="AC40" s="548"/>
      <c r="AD40" s="548"/>
      <c r="AE40" s="548"/>
      <c r="AF40" s="500" t="s">
        <v>531</v>
      </c>
      <c r="AG40" s="548"/>
      <c r="AH40" s="548"/>
      <c r="AI40" s="548"/>
      <c r="AJ40" s="548"/>
      <c r="AK40" s="548"/>
      <c r="AL40" s="548"/>
      <c r="AM40" s="548"/>
      <c r="AN40" s="548"/>
      <c r="AO40" s="500" t="s">
        <v>531</v>
      </c>
      <c r="AR40" s="590"/>
      <c r="AS40" s="590"/>
      <c r="AT40" s="590"/>
      <c r="AU40" s="590"/>
      <c r="AV40" s="590"/>
    </row>
    <row customHeight="1" ht="14.25">
      <c r="R41" s="598"/>
      <c r="S41" s="598"/>
      <c r="T41" s="598"/>
      <c r="U41" s="1502"/>
      <c r="V41" s="585"/>
      <c r="W41" s="1470"/>
      <c r="X41" s="2405"/>
      <c r="Y41" s="2405"/>
      <c r="Z41" s="2405"/>
      <c r="AA41" s="2405"/>
      <c r="AB41" s="2405"/>
      <c r="AC41" s="2405"/>
      <c r="AD41" s="2405"/>
      <c r="AE41" s="2405"/>
      <c r="AF41" s="2405"/>
      <c r="AG41" s="2405"/>
      <c r="AH41" s="2405"/>
      <c r="AI41" s="2405"/>
      <c r="AJ41" s="2405"/>
      <c r="AK41" s="2405"/>
      <c r="AL41" s="2405"/>
      <c r="AM41" s="2405"/>
      <c r="AN41" s="2405"/>
      <c r="AO41" s="2405"/>
    </row>
    <row customHeight="1" ht="14.25">
      <c r="R42" s="598"/>
      <c r="S42" s="598"/>
      <c r="T42" s="598"/>
      <c r="U42" s="2253" t="s">
        <v>406</v>
      </c>
      <c r="V42" s="2253"/>
      <c r="W42" s="2253"/>
      <c r="X42" s="2253"/>
      <c r="Y42" s="2253"/>
      <c r="Z42" s="2253"/>
      <c r="AA42" s="2253"/>
      <c r="AB42" s="2253"/>
      <c r="AC42" s="2253"/>
      <c r="AD42" s="2253"/>
      <c r="AE42" s="2253"/>
      <c r="AF42" s="2253"/>
      <c r="AG42" s="2253"/>
      <c r="AH42" s="2253"/>
      <c r="AI42" s="2253"/>
      <c r="AJ42" s="2253"/>
      <c r="AK42" s="2253"/>
      <c r="AL42" s="2253"/>
      <c r="AM42" s="2253"/>
      <c r="AN42" s="2253"/>
      <c r="AO42" s="2253"/>
      <c r="AP42" s="2253"/>
      <c r="AQ42" s="2253" t="s">
        <v>407</v>
      </c>
    </row>
    <row customHeight="1" ht="14.25">
      <c r="R43" s="598"/>
      <c r="S43" s="598"/>
      <c r="T43" s="598"/>
      <c r="U43" s="2406" t="s">
        <v>84</v>
      </c>
      <c r="V43" s="2343" t="s">
        <v>532</v>
      </c>
      <c r="W43" s="523"/>
      <c r="X43" s="2407" t="s">
        <v>533</v>
      </c>
      <c r="Y43" s="2429"/>
      <c r="Z43" s="2429"/>
      <c r="AA43" s="2429"/>
      <c r="AB43" s="2429"/>
      <c r="AC43" s="2408"/>
      <c r="AD43" s="2408"/>
      <c r="AE43" s="2409"/>
      <c r="AF43" s="2410" t="s">
        <v>534</v>
      </c>
      <c r="AG43" s="2407" t="s">
        <v>533</v>
      </c>
      <c r="AH43" s="2429"/>
      <c r="AI43" s="2429"/>
      <c r="AJ43" s="2429"/>
      <c r="AK43" s="2429"/>
      <c r="AL43" s="2408"/>
      <c r="AM43" s="2408"/>
      <c r="AN43" s="2409"/>
      <c r="AO43" s="2410" t="s">
        <v>535</v>
      </c>
      <c r="AP43" s="2413" t="s">
        <v>536</v>
      </c>
      <c r="AQ43" s="2253"/>
    </row>
    <row customHeight="1" ht="33.75">
      <c r="R44" s="598"/>
      <c r="S44" s="598"/>
      <c r="T44" s="598"/>
      <c r="U44" s="2406"/>
      <c r="V44" s="2343"/>
      <c r="W44" s="1254"/>
      <c r="X44" s="2427" t="s">
        <v>558</v>
      </c>
      <c r="Y44" s="2436" t="s">
        <v>559</v>
      </c>
      <c r="Z44" s="2436"/>
      <c r="AA44" s="2436"/>
      <c r="AB44" s="2436"/>
      <c r="AC44" s="2427" t="s">
        <v>540</v>
      </c>
      <c r="AD44" s="2445"/>
      <c r="AE44" s="2446"/>
      <c r="AF44" s="2411"/>
      <c r="AG44" s="2427" t="s">
        <v>558</v>
      </c>
      <c r="AH44" s="2436" t="s">
        <v>559</v>
      </c>
      <c r="AI44" s="2436"/>
      <c r="AJ44" s="2436"/>
      <c r="AK44" s="2436"/>
      <c r="AL44" s="2427" t="s">
        <v>540</v>
      </c>
      <c r="AM44" s="2445"/>
      <c r="AN44" s="2446"/>
      <c r="AO44" s="2411"/>
      <c r="AP44" s="2414"/>
      <c r="AQ44" s="2253"/>
    </row>
    <row customHeight="1" ht="14.25">
      <c r="R45" s="598"/>
      <c r="S45" s="598"/>
      <c r="T45" s="598"/>
      <c r="U45" s="2406"/>
      <c r="V45" s="2343"/>
      <c r="W45" s="1254"/>
      <c r="X45" s="2449"/>
      <c r="Y45" s="2437" t="s">
        <v>560</v>
      </c>
      <c r="Z45" s="2402" t="s">
        <v>561</v>
      </c>
      <c r="AA45" s="2440"/>
      <c r="AB45" s="2403"/>
      <c r="AC45" s="2428"/>
      <c r="AD45" s="2447"/>
      <c r="AE45" s="2448"/>
      <c r="AF45" s="2411"/>
      <c r="AG45" s="2449"/>
      <c r="AH45" s="2437" t="s">
        <v>560</v>
      </c>
      <c r="AI45" s="2402" t="s">
        <v>561</v>
      </c>
      <c r="AJ45" s="2440"/>
      <c r="AK45" s="2403"/>
      <c r="AL45" s="2428"/>
      <c r="AM45" s="2447"/>
      <c r="AN45" s="2448"/>
      <c r="AO45" s="2411"/>
      <c r="AP45" s="2414"/>
      <c r="AQ45" s="2253"/>
    </row>
    <row customHeight="1" ht="25.5">
      <c r="R46" s="598"/>
      <c r="S46" s="598"/>
      <c r="T46" s="598"/>
      <c r="U46" s="2406"/>
      <c r="V46" s="2343"/>
      <c r="W46" s="1254"/>
      <c r="X46" s="2449"/>
      <c r="Y46" s="2438"/>
      <c r="Z46" s="2437" t="s">
        <v>562</v>
      </c>
      <c r="AA46" s="2402" t="s">
        <v>563</v>
      </c>
      <c r="AB46" s="2403"/>
      <c r="AC46" s="2437" t="s">
        <v>550</v>
      </c>
      <c r="AD46" s="2441" t="s">
        <v>551</v>
      </c>
      <c r="AE46" s="2442"/>
      <c r="AF46" s="2411"/>
      <c r="AG46" s="2449"/>
      <c r="AH46" s="2438"/>
      <c r="AI46" s="2437" t="s">
        <v>562</v>
      </c>
      <c r="AJ46" s="2402" t="s">
        <v>563</v>
      </c>
      <c r="AK46" s="2403"/>
      <c r="AL46" s="2437" t="s">
        <v>550</v>
      </c>
      <c r="AM46" s="2441" t="s">
        <v>551</v>
      </c>
      <c r="AN46" s="2442"/>
      <c r="AO46" s="2411"/>
      <c r="AP46" s="2414"/>
      <c r="AQ46" s="2253"/>
    </row>
    <row customHeight="1" ht="62.25">
      <c r="A47" s="1486"/>
      <c r="B47" s="1486" t="s">
        <v>191</v>
      </c>
      <c r="C47" s="1486" t="s">
        <v>192</v>
      </c>
      <c r="D47" s="1486" t="s">
        <v>193</v>
      </c>
      <c r="E47" s="1537" t="s">
        <v>541</v>
      </c>
      <c r="F47" s="1537" t="s">
        <v>542</v>
      </c>
      <c r="G47" s="1537" t="s">
        <v>543</v>
      </c>
      <c r="H47" s="1537" t="s">
        <v>544</v>
      </c>
      <c r="I47" s="1537" t="s">
        <v>545</v>
      </c>
      <c r="J47" s="1537" t="s">
        <v>546</v>
      </c>
      <c r="K47" s="1537" t="s">
        <v>547</v>
      </c>
      <c r="L47" s="1537" t="s">
        <v>564</v>
      </c>
      <c r="M47" s="1537" t="s">
        <v>522</v>
      </c>
      <c r="R47" s="598"/>
      <c r="S47" s="598"/>
      <c r="T47" s="598"/>
      <c r="U47" s="2406"/>
      <c r="V47" s="2343"/>
      <c r="W47" s="524"/>
      <c r="X47" s="2428"/>
      <c r="Y47" s="2439"/>
      <c r="Z47" s="2439"/>
      <c r="AA47" s="1448" t="s">
        <v>565</v>
      </c>
      <c r="AB47" s="1448" t="s">
        <v>566</v>
      </c>
      <c r="AC47" s="2439"/>
      <c r="AD47" s="2443"/>
      <c r="AE47" s="2444"/>
      <c r="AF47" s="2412"/>
      <c r="AG47" s="2428"/>
      <c r="AH47" s="2439"/>
      <c r="AI47" s="2439"/>
      <c r="AJ47" s="1448" t="s">
        <v>565</v>
      </c>
      <c r="AK47" s="1448" t="s">
        <v>566</v>
      </c>
      <c r="AL47" s="2439"/>
      <c r="AM47" s="2443"/>
      <c r="AN47" s="2444"/>
      <c r="AO47" s="2412"/>
      <c r="AP47" s="2415"/>
      <c r="AQ47" s="2253"/>
    </row>
    <row s="16382" customFormat="1" customHeight="1" ht="11.25" hidden="1">
      <c r="A48" s="1486"/>
      <c r="B48" s="1486"/>
      <c r="C48" s="1486"/>
      <c r="D48" s="1486"/>
      <c r="E48" s="1486"/>
      <c r="F48" s="1486"/>
      <c r="G48" s="1486"/>
      <c r="H48" s="1486"/>
      <c r="I48" s="1486"/>
      <c r="J48" s="1486"/>
      <c r="K48" s="1486"/>
      <c r="L48" s="1486"/>
      <c r="M48" s="1537"/>
      <c r="N48" s="1555"/>
      <c r="O48" s="1555"/>
      <c r="P48" s="1555"/>
      <c r="Q48" s="1472"/>
      <c r="R48" s="1473"/>
      <c r="S48" s="1480">
        <v>1</v>
      </c>
      <c r="T48" s="1480"/>
      <c r="U48" s="1504" t="s">
        <v>168</v>
      </c>
      <c r="V48" s="1481" t="s">
        <v>99</v>
      </c>
      <c r="W48" s="1471" t="str">
        <f>OFFSET(W48,0,-1)</f>
        <v>2</v>
      </c>
      <c r="X48" s="1562">
        <f>OFFSET(X48,0,-1)+1</f>
        <v>3</v>
      </c>
      <c r="Y48" s="1568"/>
      <c r="Z48" s="1568"/>
      <c r="AA48" s="1568">
        <f>OFFSET(AA48,0,-1)+1</f>
        <v>1</v>
      </c>
      <c r="AB48" s="1568">
        <f>OFFSET(AB48,0,-1)+1</f>
        <v>2</v>
      </c>
      <c r="AC48" s="1562">
        <f>OFFSET(AC48,0,-1)+1</f>
        <v>3</v>
      </c>
      <c r="AD48" s="2404">
        <f>OFFSET(AD48,0,-1)+1</f>
        <v>4</v>
      </c>
      <c r="AE48" s="2404"/>
      <c r="AF48" s="1562">
        <f>OFFSET(AF48,0,-2)+1</f>
        <v>5</v>
      </c>
      <c r="AG48" s="1562">
        <f>OFFSET(AG48,0,-1)+1</f>
        <v>6</v>
      </c>
      <c r="AH48" s="1562"/>
      <c r="AI48" s="1562"/>
      <c r="AJ48" s="1562">
        <f>OFFSET(AJ48,0,-1)+1</f>
        <v>1</v>
      </c>
      <c r="AK48" s="1562">
        <f>OFFSET(AK48,0,-1)+1</f>
        <v>2</v>
      </c>
      <c r="AL48" s="1562">
        <f>OFFSET(AL48,0,-1)+1</f>
        <v>3</v>
      </c>
      <c r="AM48" s="2404">
        <f>OFFSET(AM48,0,-1)+1</f>
        <v>4</v>
      </c>
      <c r="AN48" s="2404"/>
      <c r="AO48" s="1562">
        <f>OFFSET(AO48,0,-2)+1</f>
        <v>5</v>
      </c>
      <c r="AP48" s="1471">
        <f>OFFSET(AP48,0,-1)</f>
        <v>5</v>
      </c>
      <c r="AQ48" s="1562">
        <f>OFFSET(AQ48,0,-1)+1</f>
        <v>6</v>
      </c>
      <c r="AR48" s="733"/>
      <c r="AS48" s="733"/>
      <c r="AT48" s="733"/>
      <c r="AU48" s="733"/>
      <c r="AV48" s="733"/>
    </row>
    <row customHeight="1" ht="21">
      <c r="A49" s="1494" t="s">
        <v>224</v>
      </c>
      <c r="B49" s="1494"/>
      <c r="C49" s="1494"/>
      <c r="D49" s="1494"/>
      <c r="E49" s="2423">
        <v>1</v>
      </c>
      <c r="F49" s="1494"/>
      <c r="G49" s="1494"/>
      <c r="H49" s="1494"/>
      <c r="I49" s="1494"/>
      <c r="J49" s="1494"/>
      <c r="K49" s="1494"/>
      <c r="L49" s="1494"/>
      <c r="M49" s="1537"/>
      <c r="N49" s="910"/>
      <c r="O49" s="910"/>
      <c r="P49" s="910"/>
      <c r="Q49" s="583"/>
      <c r="R49" s="582"/>
      <c r="S49" s="582"/>
      <c r="T49" s="577"/>
      <c r="U49" s="1563">
        <f>INDEX(PT_DIFFERENTIATION_NUM_NTAR,MATCH(A49,PT_DIFFERENTIATION_NTAR_ID,0))</f>
        <v>0</v>
      </c>
      <c r="V49" s="520" t="s">
        <v>179</v>
      </c>
      <c r="W49" s="522"/>
      <c r="X49" s="2382"/>
      <c r="Y49" s="2383"/>
      <c r="Z49" s="2383"/>
      <c r="AA49" s="2383"/>
      <c r="AB49" s="2383"/>
      <c r="AC49" s="2383"/>
      <c r="AD49" s="2383"/>
      <c r="AE49" s="2383"/>
      <c r="AF49" s="2384"/>
      <c r="AG49" s="2382" t="str">
        <f>INDEX(PT_DIFFERENTIATION_NTAR,MATCH(A49,PT_DIFFERENTIATION_NTAR_ID,0))</f>
        <v/>
      </c>
      <c r="AH49" s="2383"/>
      <c r="AI49" s="2383"/>
      <c r="AJ49" s="2383"/>
      <c r="AK49" s="2383"/>
      <c r="AL49" s="2383"/>
      <c r="AM49" s="2383"/>
      <c r="AN49" s="2383"/>
      <c r="AO49" s="2383"/>
      <c r="AP49" s="2384"/>
      <c r="AQ49" s="14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22"/>
      <c r="AT49" s="722" t="str">
        <f>IF(V49="","",V49)</f>
        <v>Наименование тарифа</v>
      </c>
      <c r="AU49" s="722"/>
      <c r="AV49" s="722"/>
    </row>
    <row customHeight="1" ht="21">
      <c r="A50" s="1494" t="s">
        <v>224</v>
      </c>
      <c r="B50" s="1494" t="s">
        <v>225</v>
      </c>
      <c r="C50" s="1494"/>
      <c r="D50" s="1494"/>
      <c r="E50" s="2424"/>
      <c r="F50" s="2423">
        <v>1</v>
      </c>
      <c r="G50" s="1494"/>
      <c r="H50" s="1494"/>
      <c r="I50" s="1494"/>
      <c r="J50" s="1494"/>
      <c r="K50" s="1494"/>
      <c r="L50" s="1494"/>
      <c r="M50" s="1537"/>
      <c r="N50" s="910"/>
      <c r="O50" s="910"/>
      <c r="P50" s="910"/>
      <c r="Q50" s="1559"/>
      <c r="R50" s="574"/>
      <c r="S50" s="731"/>
      <c r="T50" s="575"/>
      <c r="U50" s="1563" t="str">
        <f>INDEX(PT_DIFFERENTIATION_NUM_TER,MATCH(B50,PT_DIFFERENTIATION_TER_ID,0))</f>
        <v>.</v>
      </c>
      <c r="V50" s="530" t="s">
        <v>503</v>
      </c>
      <c r="W50" s="522"/>
      <c r="X50" s="2382"/>
      <c r="Y50" s="2383"/>
      <c r="Z50" s="2383"/>
      <c r="AA50" s="2383"/>
      <c r="AB50" s="2383"/>
      <c r="AC50" s="2383"/>
      <c r="AD50" s="2383"/>
      <c r="AE50" s="2383"/>
      <c r="AF50" s="2384"/>
      <c r="AG50" s="2382" t="str">
        <f>INDEX(PT_DIFFERENTIATION_TER,MATCH(B50,PT_DIFFERENTIATION_TER_ID,0))</f>
        <v/>
      </c>
      <c r="AH50" s="2383"/>
      <c r="AI50" s="2383"/>
      <c r="AJ50" s="2383"/>
      <c r="AK50" s="2383"/>
      <c r="AL50" s="2383"/>
      <c r="AM50" s="2383"/>
      <c r="AN50" s="2383"/>
      <c r="AO50" s="2383"/>
      <c r="AP50" s="2384"/>
      <c r="AQ50" s="1484" t="s">
        <v>504</v>
      </c>
      <c r="AS50" s="722"/>
      <c r="AT50" s="722" t="str">
        <f>IF(V50="","",V50)</f>
        <v>Территория действия тарифа</v>
      </c>
      <c r="AU50" s="722"/>
      <c r="AV50" s="722"/>
    </row>
    <row customHeight="1" ht="22.5">
      <c r="A51" s="1494" t="s">
        <v>224</v>
      </c>
      <c r="B51" s="1494" t="s">
        <v>225</v>
      </c>
      <c r="C51" s="1494" t="s">
        <v>226</v>
      </c>
      <c r="D51" s="1494"/>
      <c r="E51" s="2424"/>
      <c r="F51" s="2424"/>
      <c r="G51" s="2423">
        <v>1</v>
      </c>
      <c r="H51" s="1494"/>
      <c r="I51" s="1494"/>
      <c r="J51" s="1494"/>
      <c r="K51" s="1494"/>
      <c r="L51" s="1494"/>
      <c r="M51" s="1537"/>
      <c r="N51" s="910"/>
      <c r="O51" s="910"/>
      <c r="P51" s="910"/>
      <c r="Q51" s="576"/>
      <c r="R51" s="574"/>
      <c r="S51" s="731"/>
      <c r="T51" s="575"/>
      <c r="U51" s="1563" t="str">
        <f>INDEX(PT_DIFFERENTIATION_NUM_CS,MATCH(C51,PT_DIFFERENTIATION_CS_ID,0))</f>
        <v>..</v>
      </c>
      <c r="V51" s="531" t="s">
        <v>505</v>
      </c>
      <c r="W51" s="522"/>
      <c r="X51" s="2382"/>
      <c r="Y51" s="2383"/>
      <c r="Z51" s="2383"/>
      <c r="AA51" s="2383"/>
      <c r="AB51" s="2383"/>
      <c r="AC51" s="2383"/>
      <c r="AD51" s="2383"/>
      <c r="AE51" s="2383"/>
      <c r="AF51" s="2384"/>
      <c r="AG51" s="2382" t="str">
        <f>INDEX(PT_DIFFERENTIATION_CS,MATCH(C51,PT_DIFFERENTIATION_CS_ID,0))</f>
        <v/>
      </c>
      <c r="AH51" s="2383"/>
      <c r="AI51" s="2383"/>
      <c r="AJ51" s="2383"/>
      <c r="AK51" s="2383"/>
      <c r="AL51" s="2383"/>
      <c r="AM51" s="2383"/>
      <c r="AN51" s="2383"/>
      <c r="AO51" s="2383"/>
      <c r="AP51" s="2384"/>
      <c r="AQ51" s="1484" t="s">
        <v>506</v>
      </c>
      <c r="AS51" s="722"/>
      <c r="AT51" s="722" t="str">
        <f>IF(V51="","",V51)</f>
        <v>Наименование системы теплоснабжения </v>
      </c>
      <c r="AU51" s="722"/>
      <c r="AV51" s="722"/>
    </row>
    <row customHeight="1" ht="21">
      <c r="A52" s="1494" t="s">
        <v>224</v>
      </c>
      <c r="B52" s="1494" t="s">
        <v>225</v>
      </c>
      <c r="C52" s="1494" t="s">
        <v>226</v>
      </c>
      <c r="D52" s="1494" t="s">
        <v>227</v>
      </c>
      <c r="E52" s="2424"/>
      <c r="F52" s="2424"/>
      <c r="G52" s="2424"/>
      <c r="H52" s="2450">
        <v>1</v>
      </c>
      <c r="I52" s="1494"/>
      <c r="J52" s="1494"/>
      <c r="K52" s="1494"/>
      <c r="L52" s="1494"/>
      <c r="M52" s="1537"/>
      <c r="N52" s="910"/>
      <c r="O52" s="910"/>
      <c r="P52" s="910"/>
      <c r="Q52" s="576"/>
      <c r="R52" s="574"/>
      <c r="S52" s="731"/>
      <c r="T52" s="575"/>
      <c r="U52" s="1563" t="str">
        <f>INDEX(PT_DIFFERENTIATION_NUM_IST_TE,MATCH(D52,PT_DIFFERENTIATION_IST_TE_ID,0))</f>
        <v>...</v>
      </c>
      <c r="V52" s="532" t="s">
        <v>507</v>
      </c>
      <c r="W52" s="522"/>
      <c r="X52" s="2382"/>
      <c r="Y52" s="2383"/>
      <c r="Z52" s="2383"/>
      <c r="AA52" s="2383"/>
      <c r="AB52" s="2383"/>
      <c r="AC52" s="2383"/>
      <c r="AD52" s="2383"/>
      <c r="AE52" s="2383"/>
      <c r="AF52" s="2384"/>
      <c r="AG52" s="2382" t="str">
        <f>INDEX(PT_DIFFERENTIATION_IST_TE,MATCH(D52,PT_DIFFERENTIATION_IST_TE_ID,0))</f>
        <v/>
      </c>
      <c r="AH52" s="2383"/>
      <c r="AI52" s="2383"/>
      <c r="AJ52" s="2383"/>
      <c r="AK52" s="2383"/>
      <c r="AL52" s="2383"/>
      <c r="AM52" s="2383"/>
      <c r="AN52" s="2383"/>
      <c r="AO52" s="2383"/>
      <c r="AP52" s="2384"/>
      <c r="AQ52" s="1484" t="s">
        <v>508</v>
      </c>
      <c r="AS52" s="722"/>
      <c r="AT52" s="722" t="str">
        <f>IF(V52="","",V52)</f>
        <v>Источник тепловой энергии  </v>
      </c>
      <c r="AU52" s="722"/>
      <c r="AV52" s="722"/>
    </row>
    <row s="16622" customFormat="1" customHeight="1" ht="0">
      <c r="A53" s="1602" t="s">
        <v>224</v>
      </c>
      <c r="B53" s="1602" t="s">
        <v>225</v>
      </c>
      <c r="C53" s="1602" t="s">
        <v>226</v>
      </c>
      <c r="D53" s="1602" t="s">
        <v>227</v>
      </c>
      <c r="E53" s="2424"/>
      <c r="F53" s="2424"/>
      <c r="G53" s="2424"/>
      <c r="H53" s="2451"/>
      <c r="I53" s="2253" t="str">
        <f>U52&amp;".1"</f>
        <v>....1</v>
      </c>
      <c r="J53" s="1602"/>
      <c r="K53" s="1602"/>
      <c r="L53" s="1602"/>
      <c r="M53" s="1608" t="s">
        <v>509</v>
      </c>
      <c r="N53" s="1472"/>
      <c r="O53" s="1472"/>
      <c r="P53" s="1472"/>
      <c r="Q53" s="2392">
        <v>1</v>
      </c>
      <c r="R53" s="1558"/>
      <c r="S53" s="1558"/>
      <c r="T53" s="578"/>
      <c r="U53" s="1265"/>
      <c r="V53" s="1610"/>
      <c r="W53" s="1611"/>
      <c r="X53" s="2430"/>
      <c r="Y53" s="2431"/>
      <c r="Z53" s="2431"/>
      <c r="AA53" s="2431"/>
      <c r="AB53" s="2431"/>
      <c r="AC53" s="2431"/>
      <c r="AD53" s="2431"/>
      <c r="AE53" s="2431"/>
      <c r="AF53" s="2432"/>
      <c r="AG53" s="2430"/>
      <c r="AH53" s="2431"/>
      <c r="AI53" s="2431"/>
      <c r="AJ53" s="2431"/>
      <c r="AK53" s="2431"/>
      <c r="AL53" s="2431"/>
      <c r="AM53" s="2431"/>
      <c r="AN53" s="2431"/>
      <c r="AO53" s="2431"/>
      <c r="AP53" s="2432"/>
      <c r="AQ53" s="1612"/>
      <c r="AS53" s="722"/>
      <c r="AT53" s="722" t="str">
        <f>IF(V53="","",V53)</f>
        <v/>
      </c>
      <c r="AU53" s="722"/>
      <c r="AV53" s="722"/>
    </row>
    <row customHeight="1" ht="21">
      <c r="A54" s="1494" t="s">
        <v>224</v>
      </c>
      <c r="B54" s="1494" t="s">
        <v>225</v>
      </c>
      <c r="C54" s="1494" t="s">
        <v>226</v>
      </c>
      <c r="D54" s="1494" t="s">
        <v>227</v>
      </c>
      <c r="E54" s="2424"/>
      <c r="F54" s="2424"/>
      <c r="G54" s="2424"/>
      <c r="H54" s="2451"/>
      <c r="I54" s="2237"/>
      <c r="J54" s="2253" t="str">
        <f>I53&amp;".1"</f>
        <v>....1.1</v>
      </c>
      <c r="K54" s="1494"/>
      <c r="L54" s="1494"/>
      <c r="M54" s="1537" t="s">
        <v>512</v>
      </c>
      <c r="Q54" s="2392"/>
      <c r="R54" s="2392">
        <v>1</v>
      </c>
      <c r="S54" s="740"/>
      <c r="T54" s="579"/>
      <c r="U54" s="1563" t="str">
        <f>$J54</f>
        <v>....1.1</v>
      </c>
      <c r="V54" s="508" t="s">
        <v>513</v>
      </c>
      <c r="W54" s="522"/>
      <c r="X54" s="2376"/>
      <c r="Y54" s="2377"/>
      <c r="Z54" s="2377"/>
      <c r="AA54" s="2377"/>
      <c r="AB54" s="2377"/>
      <c r="AC54" s="2369"/>
      <c r="AD54" s="2369"/>
      <c r="AE54" s="2369"/>
      <c r="AF54" s="2452"/>
      <c r="AG54" s="2376"/>
      <c r="AH54" s="2377"/>
      <c r="AI54" s="2377"/>
      <c r="AJ54" s="2377"/>
      <c r="AK54" s="2377"/>
      <c r="AL54" s="2377"/>
      <c r="AM54" s="2377"/>
      <c r="AN54" s="2377"/>
      <c r="AO54" s="2377"/>
      <c r="AP54" s="2378"/>
      <c r="AQ54" s="1484" t="s">
        <v>514</v>
      </c>
      <c r="AS54" s="722"/>
      <c r="AT54" s="722" t="str">
        <f>IF(V54="","",V54)</f>
        <v>Группа потребителей</v>
      </c>
      <c r="AU54" s="722"/>
      <c r="AV54" s="722"/>
    </row>
    <row customHeight="1" ht="21">
      <c r="A55" s="1494" t="s">
        <v>224</v>
      </c>
      <c r="B55" s="1494" t="s">
        <v>225</v>
      </c>
      <c r="C55" s="1494" t="s">
        <v>226</v>
      </c>
      <c r="D55" s="1494" t="s">
        <v>227</v>
      </c>
      <c r="E55" s="2424"/>
      <c r="F55" s="2424"/>
      <c r="G55" s="2424"/>
      <c r="H55" s="2451"/>
      <c r="I55" s="2237"/>
      <c r="J55" s="2237"/>
      <c r="K55" s="2253" t="str">
        <f>J54&amp;".1"</f>
        <v>....1.1.1</v>
      </c>
      <c r="L55" s="362"/>
      <c r="M55" s="1537" t="s">
        <v>515</v>
      </c>
      <c r="Q55" s="2392"/>
      <c r="R55" s="2392"/>
      <c r="S55" s="740">
        <v>1</v>
      </c>
      <c r="T55" s="579"/>
      <c r="U55" s="1563" t="str">
        <f>$K55</f>
        <v>....1.1.1</v>
      </c>
      <c r="V55" s="1574"/>
      <c r="W55" s="522"/>
      <c r="X55" s="973"/>
      <c r="Y55" s="973"/>
      <c r="Z55" s="973"/>
      <c r="AA55" s="973"/>
      <c r="AB55" s="1632"/>
      <c r="AC55" s="2393"/>
      <c r="AD55" s="2263" t="s">
        <v>63</v>
      </c>
      <c r="AE55" s="2393"/>
      <c r="AF55" s="2263" t="s">
        <v>63</v>
      </c>
      <c r="AG55" s="1634"/>
      <c r="AH55" s="973"/>
      <c r="AI55" s="973"/>
      <c r="AJ55" s="973"/>
      <c r="AK55" s="1483"/>
      <c r="AL55" s="2393"/>
      <c r="AM55" s="2263" t="s">
        <v>63</v>
      </c>
      <c r="AN55" s="2393"/>
      <c r="AO55" s="2263" t="s">
        <v>63</v>
      </c>
      <c r="AP55" s="1575"/>
      <c r="AQ55" s="1534" t="s">
        <v>555</v>
      </c>
      <c r="AR55" s="733">
        <f>STRCHECKDATE(X57:AP57)</f>
      </c>
      <c r="AS55" s="722"/>
      <c r="AT55" s="722" t="str">
        <f>IF(V55="","",V55)</f>
        <v/>
      </c>
      <c r="AU55" s="722"/>
      <c r="AV55" s="722"/>
    </row>
    <row customHeight="1" ht="11.25">
      <c r="A56" s="1494" t="s">
        <v>224</v>
      </c>
      <c r="B56" s="1494" t="s">
        <v>225</v>
      </c>
      <c r="C56" s="1494" t="s">
        <v>226</v>
      </c>
      <c r="D56" s="1494" t="s">
        <v>227</v>
      </c>
      <c r="E56" s="2424"/>
      <c r="F56" s="2424"/>
      <c r="G56" s="2424"/>
      <c r="H56" s="2451"/>
      <c r="I56" s="2237"/>
      <c r="J56" s="2237"/>
      <c r="K56" s="2237"/>
      <c r="L56" s="2253" t="str">
        <f>K55&amp;".1"</f>
        <v>....1.1.1.1</v>
      </c>
      <c r="M56" s="1537"/>
      <c r="Q56" s="2392"/>
      <c r="R56" s="2392"/>
      <c r="S56" s="740">
        <v>1</v>
      </c>
      <c r="T56" s="579"/>
      <c r="U56" s="1563" t="str">
        <f>$L56</f>
        <v>....1.1.1.1</v>
      </c>
      <c r="V56" s="1618"/>
      <c r="W56" s="522"/>
      <c r="X56" s="547"/>
      <c r="Y56" s="973"/>
      <c r="Z56" s="973"/>
      <c r="AA56" s="973"/>
      <c r="AB56" s="1632"/>
      <c r="AC56" s="2435"/>
      <c r="AD56" s="2263"/>
      <c r="AE56" s="2435"/>
      <c r="AF56" s="2263"/>
      <c r="AG56" s="1634"/>
      <c r="AH56" s="973"/>
      <c r="AI56" s="973"/>
      <c r="AJ56" s="973"/>
      <c r="AK56" s="1483"/>
      <c r="AL56" s="2435"/>
      <c r="AM56" s="2263"/>
      <c r="AN56" s="2435"/>
      <c r="AO56" s="2263"/>
      <c r="AP56" s="1575"/>
      <c r="AQ56" s="2418" t="s">
        <v>556</v>
      </c>
      <c r="AR56" s="733">
        <f>STRCHECKDATE(X58:AP58)</f>
      </c>
      <c r="AS56" s="722"/>
      <c r="AT56" s="722" t="str">
        <f>IF(V56="","",V56)</f>
        <v/>
      </c>
      <c r="AU56" s="722"/>
      <c r="AV56" s="722"/>
    </row>
    <row customHeight="1" ht="0">
      <c r="A57" s="1494" t="s">
        <v>224</v>
      </c>
      <c r="B57" s="1494" t="s">
        <v>225</v>
      </c>
      <c r="C57" s="1494" t="s">
        <v>226</v>
      </c>
      <c r="D57" s="1494" t="s">
        <v>227</v>
      </c>
      <c r="E57" s="2424"/>
      <c r="F57" s="2424"/>
      <c r="G57" s="2424"/>
      <c r="H57" s="2451"/>
      <c r="I57" s="2237"/>
      <c r="J57" s="2237"/>
      <c r="K57" s="2237"/>
      <c r="L57" s="2253"/>
      <c r="M57" s="1537"/>
      <c r="Q57" s="2392"/>
      <c r="R57" s="2392"/>
      <c r="S57" s="740"/>
      <c r="T57" s="579"/>
      <c r="U57" s="1569"/>
      <c r="V57" s="522"/>
      <c r="W57" s="522"/>
      <c r="X57" s="547"/>
      <c r="Y57" s="547"/>
      <c r="Z57" s="547"/>
      <c r="AA57" s="547"/>
      <c r="AB57" s="1633" t="str">
        <f>AC55&amp;"-"&amp;AE55</f>
        <v>-</v>
      </c>
      <c r="AC57" s="2435"/>
      <c r="AD57" s="2263"/>
      <c r="AE57" s="2435"/>
      <c r="AF57" s="2263"/>
      <c r="AG57" s="1609"/>
      <c r="AH57" s="547"/>
      <c r="AI57" s="547"/>
      <c r="AJ57" s="547"/>
      <c r="AK57" s="550" t="str">
        <f>AL55&amp;"-"&amp;AN55</f>
        <v>-</v>
      </c>
      <c r="AL57" s="2435"/>
      <c r="AM57" s="2263"/>
      <c r="AN57" s="2435"/>
      <c r="AO57" s="2263"/>
      <c r="AP57" s="1576"/>
      <c r="AQ57" s="2419"/>
      <c r="AS57" s="722"/>
      <c r="AT57" s="722" t="str">
        <f>IF(V57="","",V57)</f>
        <v/>
      </c>
      <c r="AU57" s="722"/>
      <c r="AV57" s="722"/>
    </row>
    <row customHeight="1" ht="11.25">
      <c r="A58" s="1494" t="s">
        <v>224</v>
      </c>
      <c r="B58" s="1494" t="s">
        <v>225</v>
      </c>
      <c r="C58" s="1494" t="s">
        <v>226</v>
      </c>
      <c r="D58" s="1494" t="s">
        <v>227</v>
      </c>
      <c r="E58" s="2424"/>
      <c r="F58" s="2424"/>
      <c r="G58" s="2424"/>
      <c r="H58" s="2451"/>
      <c r="I58" s="2237"/>
      <c r="J58" s="2237"/>
      <c r="K58" s="2253"/>
      <c r="L58" s="1494"/>
      <c r="M58" s="1537"/>
      <c r="Q58" s="2392"/>
      <c r="R58" s="2392"/>
      <c r="S58" s="1558"/>
      <c r="T58" s="578"/>
      <c r="U58" s="1505"/>
      <c r="V58" s="510" t="s">
        <v>557</v>
      </c>
      <c r="W58" s="589"/>
      <c r="X58" s="589"/>
      <c r="Y58" s="589"/>
      <c r="Z58" s="589"/>
      <c r="AA58" s="589"/>
      <c r="AB58" s="589"/>
      <c r="AC58" s="2435"/>
      <c r="AD58" s="2263"/>
      <c r="AE58" s="2435"/>
      <c r="AF58" s="2263"/>
      <c r="AG58" s="589"/>
      <c r="AH58" s="589"/>
      <c r="AI58" s="589"/>
      <c r="AJ58" s="589"/>
      <c r="AK58" s="589"/>
      <c r="AL58" s="2435"/>
      <c r="AM58" s="2263"/>
      <c r="AN58" s="2435"/>
      <c r="AO58" s="2263"/>
      <c r="AP58" s="546"/>
      <c r="AQ58" s="2419"/>
      <c r="AS58" s="722"/>
      <c r="AT58" s="722" t="str">
        <f>IF(V58="","",V58)</f>
        <v>Добавить наименование поставщика</v>
      </c>
      <c r="AU58" s="722"/>
      <c r="AV58" s="722"/>
    </row>
    <row customHeight="1" ht="11.25">
      <c r="A59" s="1494" t="s">
        <v>224</v>
      </c>
      <c r="B59" s="1494" t="s">
        <v>225</v>
      </c>
      <c r="C59" s="1494" t="s">
        <v>226</v>
      </c>
      <c r="D59" s="1494" t="s">
        <v>227</v>
      </c>
      <c r="E59" s="2424"/>
      <c r="F59" s="2424"/>
      <c r="G59" s="2424"/>
      <c r="H59" s="2451"/>
      <c r="I59" s="2237"/>
      <c r="J59" s="2253"/>
      <c r="K59" s="1494"/>
      <c r="L59" s="1494"/>
      <c r="M59" s="1537"/>
      <c r="Q59" s="2392"/>
      <c r="R59" s="2392"/>
      <c r="S59" s="1558"/>
      <c r="T59" s="578"/>
      <c r="U59" s="1505"/>
      <c r="V59" s="509" t="s">
        <v>517</v>
      </c>
      <c r="W59" s="589"/>
      <c r="X59" s="589"/>
      <c r="Y59" s="589"/>
      <c r="Z59" s="589"/>
      <c r="AA59" s="589"/>
      <c r="AB59" s="589"/>
      <c r="AC59" s="1635"/>
      <c r="AD59" s="1635"/>
      <c r="AE59" s="1635"/>
      <c r="AF59" s="1635"/>
      <c r="AG59" s="589"/>
      <c r="AH59" s="589"/>
      <c r="AI59" s="589"/>
      <c r="AJ59" s="589"/>
      <c r="AK59" s="589"/>
      <c r="AL59" s="589"/>
      <c r="AM59" s="589"/>
      <c r="AN59" s="589"/>
      <c r="AO59" s="589"/>
      <c r="AP59" s="546"/>
      <c r="AQ59" s="2420"/>
      <c r="AS59" s="722"/>
      <c r="AT59" s="722" t="str">
        <f>IF(V59="","",V59)</f>
        <v>Добавить вид теплоносителя (параметры теплоносителя)</v>
      </c>
      <c r="AU59" s="722"/>
      <c r="AV59" s="722"/>
    </row>
    <row customHeight="1" ht="11.25">
      <c r="A60" s="1494" t="s">
        <v>224</v>
      </c>
      <c r="B60" s="1494" t="s">
        <v>225</v>
      </c>
      <c r="C60" s="1494" t="s">
        <v>226</v>
      </c>
      <c r="D60" s="1494" t="s">
        <v>227</v>
      </c>
      <c r="E60" s="2424"/>
      <c r="F60" s="2424"/>
      <c r="G60" s="2424"/>
      <c r="H60" s="2451"/>
      <c r="I60" s="2253"/>
      <c r="J60" s="1494"/>
      <c r="K60" s="1494"/>
      <c r="L60" s="1494"/>
      <c r="M60" s="1537"/>
      <c r="Q60" s="2392"/>
      <c r="R60" s="1558"/>
      <c r="S60" s="1558"/>
      <c r="T60" s="578"/>
      <c r="U60" s="1505"/>
      <c r="V60" s="587" t="s">
        <v>518</v>
      </c>
      <c r="W60" s="589"/>
      <c r="X60" s="589"/>
      <c r="Y60" s="589"/>
      <c r="Z60" s="589"/>
      <c r="AA60" s="589"/>
      <c r="AB60" s="589"/>
      <c r="AC60" s="589"/>
      <c r="AD60" s="589"/>
      <c r="AE60" s="589"/>
      <c r="AF60" s="588"/>
      <c r="AG60" s="589"/>
      <c r="AH60" s="589"/>
      <c r="AI60" s="589"/>
      <c r="AJ60" s="589"/>
      <c r="AK60" s="589"/>
      <c r="AL60" s="589"/>
      <c r="AM60" s="589"/>
      <c r="AN60" s="589"/>
      <c r="AO60" s="588"/>
      <c r="AP60" s="589"/>
      <c r="AQ60" s="525"/>
      <c r="AS60" s="722"/>
      <c r="AT60" s="722" t="str">
        <f>IF(V60="","",V60)</f>
        <v>Добавить группу потребителей</v>
      </c>
      <c r="AU60" s="722"/>
      <c r="AV60" s="722"/>
    </row>
    <row customHeight="1" ht="0">
      <c r="A61" s="1494" t="s">
        <v>224</v>
      </c>
      <c r="B61" s="1494" t="s">
        <v>225</v>
      </c>
      <c r="C61" s="1494" t="s">
        <v>226</v>
      </c>
      <c r="D61" s="1494" t="s">
        <v>227</v>
      </c>
      <c r="E61" s="2424"/>
      <c r="F61" s="2424"/>
      <c r="G61" s="2424"/>
      <c r="H61" s="2450"/>
      <c r="I61" s="1494"/>
      <c r="J61" s="1494"/>
      <c r="K61" s="1494"/>
      <c r="L61" s="1494"/>
      <c r="M61" s="1537"/>
      <c r="N61" s="910"/>
      <c r="O61" s="910"/>
      <c r="P61" s="731"/>
      <c r="Q61" s="582"/>
      <c r="R61" s="597"/>
      <c r="S61" s="577"/>
      <c r="T61" s="582"/>
      <c r="U61" s="1613"/>
      <c r="V61" s="1614"/>
      <c r="W61" s="1615"/>
      <c r="X61" s="1615"/>
      <c r="Y61" s="1615"/>
      <c r="Z61" s="1615"/>
      <c r="AA61" s="1615"/>
      <c r="AB61" s="1615"/>
      <c r="AC61" s="1615"/>
      <c r="AD61" s="1615"/>
      <c r="AE61" s="1615"/>
      <c r="AF61" s="1615"/>
      <c r="AG61" s="1615"/>
      <c r="AH61" s="1615"/>
      <c r="AI61" s="1615"/>
      <c r="AJ61" s="1615"/>
      <c r="AK61" s="1615"/>
      <c r="AL61" s="1615"/>
      <c r="AM61" s="1615"/>
      <c r="AN61" s="1615"/>
      <c r="AO61" s="1615"/>
      <c r="AP61" s="1615"/>
      <c r="AQ61" s="1616"/>
      <c r="AS61" s="722"/>
      <c r="AT61" s="722" t="str">
        <f>IF(V61="","",V61)</f>
        <v/>
      </c>
      <c r="AU61" s="722"/>
      <c r="AV61" s="722"/>
    </row>
    <row s="16531" customFormat="1" customHeight="1" ht="0">
      <c r="A62" s="1602" t="s">
        <v>224</v>
      </c>
      <c r="B62" s="1602" t="s">
        <v>225</v>
      </c>
      <c r="C62" s="1602" t="s">
        <v>226</v>
      </c>
      <c r="D62" s="1601"/>
      <c r="E62" s="2424"/>
      <c r="F62" s="2424"/>
      <c r="G62" s="2423"/>
      <c r="H62" s="1601"/>
      <c r="I62" s="1601"/>
      <c r="J62" s="1601"/>
      <c r="K62" s="1601"/>
      <c r="L62" s="1601"/>
      <c r="M62" s="1604"/>
      <c r="N62" s="1605"/>
      <c r="O62" s="1605"/>
      <c r="P62" s="573"/>
      <c r="Q62" s="1543"/>
      <c r="R62" s="1544"/>
      <c r="S62" s="1543"/>
      <c r="T62" s="1543"/>
      <c r="U62" s="1549"/>
      <c r="V62" s="1552" t="s">
        <v>520</v>
      </c>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S62" s="1011"/>
      <c r="AT62" s="1011" t="str">
        <f>IF(V62="","",V62)</f>
        <v>Добавить источник для дифференциации</v>
      </c>
      <c r="AU62" s="1011"/>
      <c r="AV62" s="1011"/>
    </row>
    <row s="16531" customFormat="1" customHeight="1" ht="0">
      <c r="A63" s="1602" t="s">
        <v>224</v>
      </c>
      <c r="B63" s="1602" t="s">
        <v>225</v>
      </c>
      <c r="C63" s="1601"/>
      <c r="D63" s="1601"/>
      <c r="E63" s="2424"/>
      <c r="F63" s="2423"/>
      <c r="G63" s="1601"/>
      <c r="H63" s="1601"/>
      <c r="I63" s="1601"/>
      <c r="J63" s="1601"/>
      <c r="K63" s="1601"/>
      <c r="L63" s="1601"/>
      <c r="M63" s="1604"/>
      <c r="N63" s="1606"/>
      <c r="O63" s="1606"/>
      <c r="P63" s="573"/>
      <c r="Q63" s="1543"/>
      <c r="R63" s="1544"/>
      <c r="S63" s="1543"/>
      <c r="T63" s="1543"/>
      <c r="U63" s="1549"/>
      <c r="V63" s="1552" t="s">
        <v>305</v>
      </c>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S63" s="1011"/>
      <c r="AT63" s="1011" t="str">
        <f>IF(V63="","",V63)</f>
        <v>Добавить централизованную систему для дифференциации</v>
      </c>
      <c r="AU63" s="1011"/>
      <c r="AV63" s="1011"/>
    </row>
    <row s="16622" customFormat="1" customHeight="1" ht="0">
      <c r="A64" s="1602" t="s">
        <v>224</v>
      </c>
      <c r="B64" s="1602"/>
      <c r="C64" s="1602"/>
      <c r="D64" s="1602"/>
      <c r="E64" s="2423"/>
      <c r="F64" s="1602"/>
      <c r="G64" s="1602"/>
      <c r="H64" s="1602"/>
      <c r="I64" s="1602"/>
      <c r="J64" s="1602"/>
      <c r="K64" s="1602"/>
      <c r="L64" s="1602"/>
      <c r="M64" s="1608"/>
      <c r="N64" s="1606"/>
      <c r="O64" s="1606"/>
      <c r="P64" s="573"/>
      <c r="Q64" s="602"/>
      <c r="R64" s="1571"/>
      <c r="S64" s="602"/>
      <c r="T64" s="602"/>
      <c r="U64" s="1549"/>
      <c r="V64" s="1552" t="s">
        <v>358</v>
      </c>
      <c r="W64" s="1551"/>
      <c r="X64" s="1551"/>
      <c r="Y64" s="1551"/>
      <c r="Z64" s="1551"/>
      <c r="AA64" s="1551"/>
      <c r="AB64" s="1551"/>
      <c r="AC64" s="1551"/>
      <c r="AD64" s="1551"/>
      <c r="AE64" s="1551"/>
      <c r="AF64" s="1551"/>
      <c r="AG64" s="1551"/>
      <c r="AH64" s="1551"/>
      <c r="AI64" s="1551"/>
      <c r="AJ64" s="1551"/>
      <c r="AK64" s="1551"/>
      <c r="AL64" s="1551"/>
      <c r="AM64" s="1551"/>
      <c r="AN64" s="1551"/>
      <c r="AO64" s="1551"/>
      <c r="AP64" s="1551"/>
      <c r="AQ64" s="1551"/>
      <c r="AS64" s="722"/>
      <c r="AT64" s="722" t="str">
        <f>IF(V64="","",V64)</f>
        <v>Добавить территорию для дифференциации</v>
      </c>
      <c r="AU64" s="722"/>
      <c r="AV64" s="722"/>
    </row>
    <row s="16531" customFormat="1" customHeight="1" ht="5.25">
      <c r="A65" s="1601"/>
      <c r="B65" s="1601"/>
      <c r="C65" s="1601"/>
      <c r="D65" s="1601"/>
      <c r="E65" s="1602"/>
      <c r="F65" s="1601"/>
      <c r="G65" s="1601"/>
      <c r="H65" s="1601"/>
      <c r="I65" s="1601"/>
      <c r="J65" s="1601"/>
      <c r="K65" s="1601"/>
      <c r="L65" s="1601"/>
      <c r="M65" s="1604"/>
      <c r="N65" s="1606"/>
      <c r="O65" s="1606"/>
      <c r="P65" s="573"/>
      <c r="Q65" s="1543"/>
      <c r="R65" s="1544"/>
      <c r="S65" s="1543"/>
      <c r="T65" s="1543"/>
      <c r="U65" s="1549"/>
      <c r="V65" s="1552" t="s">
        <v>359</v>
      </c>
      <c r="W65" s="1551"/>
      <c r="X65" s="1551"/>
      <c r="Y65" s="1551"/>
      <c r="Z65" s="1551"/>
      <c r="AA65" s="1551"/>
      <c r="AB65" s="1551"/>
      <c r="AC65" s="1551"/>
      <c r="AD65" s="1551"/>
      <c r="AE65" s="1551"/>
      <c r="AF65" s="1551"/>
      <c r="AG65" s="1551"/>
      <c r="AH65" s="1551"/>
      <c r="AI65" s="1551"/>
      <c r="AJ65" s="1551"/>
      <c r="AK65" s="1551"/>
      <c r="AL65" s="1551"/>
      <c r="AM65" s="1551"/>
      <c r="AN65" s="1551"/>
      <c r="AO65" s="1551"/>
      <c r="AP65" s="1551"/>
      <c r="AQ65" s="1551"/>
      <c r="AS65" s="1011"/>
      <c r="AT65" s="1011" t="str">
        <f>IF(V65="","",V65)</f>
        <v>Добавить наименование тарифа</v>
      </c>
      <c r="AU65" s="1011"/>
      <c r="AV65" s="1011"/>
    </row>
    <row customHeight="1" ht="11.25">
      <c r="N66" s="1379"/>
      <c r="O66" s="1379"/>
      <c r="P66" s="731"/>
      <c r="Q66" s="1379"/>
      <c r="R66" s="1379"/>
      <c r="S66" s="1379"/>
      <c r="T66" s="1379"/>
      <c r="U66" s="1379"/>
      <c r="AR66" s="1379"/>
      <c r="AS66" s="1379"/>
      <c r="AT66" s="1379"/>
      <c r="AU66" s="1379"/>
      <c r="AV66" s="1379"/>
    </row>
    <row customHeight="1" ht="33.75">
      <c r="P67" s="731"/>
      <c r="U67" s="1479"/>
      <c r="V67" s="2387"/>
      <c r="W67" s="2387"/>
      <c r="X67" s="2387"/>
      <c r="Y67" s="2387"/>
      <c r="Z67" s="2387"/>
      <c r="AA67" s="2387"/>
      <c r="AB67" s="2387"/>
      <c r="AC67" s="2387"/>
      <c r="AD67" s="2387"/>
      <c r="AE67" s="2387"/>
      <c r="AF67" s="2387"/>
      <c r="AG67" s="2387"/>
      <c r="AH67" s="2387"/>
      <c r="AI67" s="2387"/>
      <c r="AJ67" s="2387"/>
      <c r="AK67" s="2387"/>
      <c r="AL67" s="2387"/>
      <c r="AM67" s="2387"/>
      <c r="AN67" s="2387"/>
      <c r="AO67" s="2387"/>
      <c r="AP67" s="2387"/>
      <c r="AQ67" s="2387"/>
    </row>
    <row customHeight="1" ht="19.5">
      <c r="P68" s="731"/>
      <c r="V68" s="2387"/>
      <c r="W68" s="2387"/>
      <c r="X68" s="2387"/>
      <c r="Y68" s="2387"/>
      <c r="Z68" s="2387"/>
      <c r="AA68" s="2387"/>
      <c r="AB68" s="2387"/>
      <c r="AC68" s="2387"/>
      <c r="AD68" s="2387"/>
      <c r="AE68" s="2387"/>
      <c r="AF68" s="2387"/>
      <c r="AG68" s="2387"/>
      <c r="AH68" s="2387"/>
      <c r="AI68" s="2387"/>
      <c r="AJ68" s="2387"/>
      <c r="AK68" s="2387"/>
      <c r="AL68" s="2387"/>
      <c r="AM68" s="2387"/>
      <c r="AN68" s="2387"/>
      <c r="AO68" s="2387"/>
      <c r="AP68" s="2387"/>
      <c r="AQ68" s="2387"/>
    </row>
    <row customHeight="1" ht="14.25">
      <c r="P69" s="731"/>
    </row>
    <row customHeight="1" ht="27">
      <c r="P70" s="731"/>
      <c r="V70" s="2387"/>
      <c r="W70" s="2387"/>
      <c r="X70" s="2387"/>
      <c r="Y70" s="2387"/>
      <c r="Z70" s="2387"/>
      <c r="AA70" s="2387"/>
      <c r="AB70" s="2387"/>
      <c r="AC70" s="2387"/>
      <c r="AD70" s="2387"/>
      <c r="AE70" s="2387"/>
      <c r="AF70" s="2387"/>
      <c r="AG70" s="2387"/>
      <c r="AH70" s="2387"/>
      <c r="AI70" s="2387"/>
      <c r="AJ70" s="2387"/>
      <c r="AK70" s="2387"/>
      <c r="AL70" s="2387"/>
      <c r="AM70" s="2387"/>
      <c r="AN70" s="2387"/>
      <c r="AO70" s="2387"/>
      <c r="AP70" s="2387"/>
      <c r="AQ70" s="2387"/>
    </row>
    <row customHeight="1" ht="18">
      <c r="P71" s="731"/>
      <c r="V71" s="2387"/>
      <c r="W71" s="2387"/>
      <c r="X71" s="2387"/>
      <c r="Y71" s="2387"/>
      <c r="Z71" s="2387"/>
      <c r="AA71" s="2387"/>
      <c r="AB71" s="2387"/>
      <c r="AC71" s="2387"/>
      <c r="AD71" s="2387"/>
      <c r="AE71" s="2387"/>
      <c r="AF71" s="2387"/>
      <c r="AG71" s="2387"/>
      <c r="AH71" s="2387"/>
      <c r="AI71" s="2387"/>
      <c r="AJ71" s="2387"/>
      <c r="AK71" s="2387"/>
      <c r="AL71" s="2387"/>
      <c r="AM71" s="2387"/>
      <c r="AN71" s="2387"/>
      <c r="AO71" s="2387"/>
      <c r="AP71" s="2387"/>
      <c r="AQ71" s="2387"/>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5B0C41-1E8D-3F9A-3EAF-0E09DA1FAD19}" mc:Ignorable="x14ac xr xr2 xr3">
  <sheetPr>
    <tabColor theme="6" tint="0.4"/>
  </sheetPr>
  <dimension ref="A1:AZ69"/>
  <sheetViews>
    <sheetView topLeftCell="A1" showGridLines="0" zoomScale="90" workbookViewId="0">
      <selection activeCell="T62" sqref="T62"/>
    </sheetView>
  </sheetViews>
  <sheetFormatPr defaultColWidth="10.57421875" customHeight="1" defaultRowHeight="14.25"/>
  <cols>
    <col min="1" max="1" style="16550" width="10.57421875"/>
    <col min="2" max="2" style="16550" width="11.00390625" customWidth="1"/>
    <col min="3" max="3" style="16550" width="10.57421875"/>
    <col min="4" max="4" style="16550" width="11.8515625" customWidth="1"/>
    <col min="5" max="5" style="16550" width="10.00390625" customWidth="1"/>
    <col min="6" max="6" style="16550" width="8.7109375" customWidth="1"/>
    <col min="7" max="7" style="16550" width="7.57421875" customWidth="1"/>
    <col min="8" max="8" style="16550" width="11.421875" customWidth="1"/>
    <col min="9" max="9" style="16550" width="12.00390625" customWidth="1"/>
    <col min="10" max="10" style="16550" width="9.8515625" customWidth="1"/>
    <col min="11" max="11" style="16550" width="11.421875" customWidth="1"/>
    <col min="12" max="12" style="16630" width="19.140625" customWidth="1"/>
    <col min="13" max="14" style="16631" width="12.28125" customWidth="1"/>
    <col min="15" max="15" style="16631" width="23.421875" customWidth="1"/>
    <col min="16" max="16" style="16631" width="3.7109375" customWidth="1"/>
    <col min="17" max="17" style="16803" width="3.7109375" customWidth="1"/>
    <col min="18" max="18" style="16633" width="3.7109375" customWidth="1"/>
    <col min="19" max="19" style="16634" width="12.7109375" customWidth="1"/>
    <col min="20" max="20" style="16635" width="32.00390625" customWidth="1"/>
    <col min="21" max="21" style="16635" width="0.140625" customWidth="1"/>
    <col min="22" max="23" style="16635" width="21.7109375" customWidth="1"/>
    <col min="24" max="24" style="16635" width="11.7109375" customWidth="1"/>
    <col min="25" max="25" style="16635" width="3.7109375" customWidth="1"/>
    <col min="26" max="26" style="16635" width="11.7109375" customWidth="1"/>
    <col min="27" max="27" style="16635" width="8.57421875" customWidth="1"/>
    <col min="28" max="28" style="16635" width="5.421875" customWidth="1"/>
    <col min="29" max="30" style="16635" width="3.7109375" customWidth="1"/>
    <col min="31" max="31" style="16635" width="24.7109375" customWidth="1"/>
    <col min="32" max="34" style="16635" width="3.7109375" customWidth="1"/>
    <col min="35" max="35" style="16635" width="24.7109375" customWidth="1"/>
    <col min="36" max="38" style="16635" width="3.7109375" customWidth="1"/>
    <col min="39" max="39" style="16635" width="18.8515625" customWidth="1"/>
    <col min="40" max="41" style="16635" width="21.7109375" customWidth="1"/>
    <col min="42" max="42" style="16635" width="11.7109375" customWidth="1"/>
    <col min="43" max="43" style="16635" width="3.7109375" customWidth="1"/>
    <col min="44" max="44" style="16635" width="11.7109375" customWidth="1"/>
    <col min="45" max="45" style="16635" width="8.57421875" customWidth="1"/>
    <col min="46" max="46" style="16635" width="4.7109375" customWidth="1"/>
    <col min="47" max="47" style="16635" width="115.7109375" customWidth="1"/>
    <col min="48" max="49" style="16622" width="10.57421875"/>
    <col min="50" max="50" style="16622" width="11.140625" customWidth="1"/>
    <col min="51" max="52" style="16622" width="10.57421875"/>
  </cols>
  <sheetData>
    <row customHeight="1" ht="14.25">
      <c r="W1" s="549"/>
      <c r="X1" s="549"/>
      <c r="AO1" s="549"/>
      <c r="AP1" s="549"/>
    </row>
    <row customHeight="1" ht="21">
      <c r="A2" s="1590"/>
      <c r="B2" s="1590"/>
      <c r="C2" s="1590"/>
      <c r="D2" s="1590"/>
      <c r="E2" s="2388">
        <v>1</v>
      </c>
      <c r="F2" s="1590"/>
      <c r="G2" s="1590"/>
      <c r="H2" s="1590"/>
      <c r="I2" s="1590"/>
      <c r="J2" s="1590"/>
      <c r="K2" s="1590"/>
      <c r="L2" s="1591"/>
      <c r="M2" s="1592"/>
      <c r="N2" s="1592"/>
      <c r="O2" s="1592"/>
      <c r="P2" s="1636"/>
      <c r="Q2" s="1095"/>
      <c r="R2" s="577"/>
      <c r="S2" s="1563">
        <f>INDEX(PT_DIFFERENTIATION_NUM_NTAR,MATCH(A2,PT_DIFFERENTIATION_NTAR_ID,0))</f>
      </c>
      <c r="T2" s="520" t="s">
        <v>179</v>
      </c>
      <c r="U2" s="522"/>
      <c r="V2" s="2383"/>
      <c r="W2" s="2383"/>
      <c r="X2" s="2383"/>
      <c r="Y2" s="2383"/>
      <c r="Z2" s="2383"/>
      <c r="AA2" s="2384"/>
      <c r="AB2" s="2382">
        <f>INDEX(PT_DIFFERENTIATION_NTAR,MATCH(A2,PT_DIFFERENTIATION_NTAR_ID,0))</f>
      </c>
      <c r="AC2" s="2383"/>
      <c r="AD2" s="2383"/>
      <c r="AE2" s="2383"/>
      <c r="AF2" s="2383"/>
      <c r="AG2" s="2383"/>
      <c r="AH2" s="2383"/>
      <c r="AI2" s="2383"/>
      <c r="AJ2" s="2383"/>
      <c r="AK2" s="2383"/>
      <c r="AL2" s="2383"/>
      <c r="AM2" s="2383"/>
      <c r="AN2" s="2383"/>
      <c r="AO2" s="2383"/>
      <c r="AP2" s="2383"/>
      <c r="AQ2" s="2383"/>
      <c r="AR2" s="2383"/>
      <c r="AS2" s="2383"/>
      <c r="AT2" s="2384"/>
      <c r="AU2" s="1484" t="s">
        <v>502</v>
      </c>
      <c r="AW2" s="722"/>
      <c r="AX2" s="722" t="str">
        <f>IF(T2="","",T2)</f>
        <v>Наименование тарифа</v>
      </c>
      <c r="AY2" s="722"/>
      <c r="AZ2" s="722"/>
    </row>
    <row customHeight="1" ht="21">
      <c r="A3" s="1590"/>
      <c r="B3" s="1590"/>
      <c r="C3" s="1590"/>
      <c r="D3" s="1590"/>
      <c r="E3" s="2389"/>
      <c r="F3" s="2388">
        <v>1</v>
      </c>
      <c r="G3" s="1590"/>
      <c r="H3" s="1590"/>
      <c r="I3" s="1590"/>
      <c r="J3" s="1590"/>
      <c r="K3" s="1590"/>
      <c r="L3" s="1591"/>
      <c r="M3" s="1592"/>
      <c r="N3" s="1592"/>
      <c r="O3" s="1592"/>
      <c r="P3" s="1637"/>
      <c r="Q3" s="1638"/>
      <c r="R3" s="575"/>
      <c r="S3" s="1563">
        <f>INDEX(PT_DIFFERENTIATION_NUM_TER,MATCH(B3,PT_DIFFERENTIATION_TER_ID,0))</f>
      </c>
      <c r="T3" s="530" t="s">
        <v>503</v>
      </c>
      <c r="U3" s="522"/>
      <c r="V3" s="2383"/>
      <c r="W3" s="2383"/>
      <c r="X3" s="2383"/>
      <c r="Y3" s="2383"/>
      <c r="Z3" s="2383"/>
      <c r="AA3" s="2384"/>
      <c r="AB3" s="2382">
        <f>INDEX(PT_DIFFERENTIATION_TER,MATCH(B3,PT_DIFFERENTIATION_TER_ID,0))</f>
      </c>
      <c r="AC3" s="2383"/>
      <c r="AD3" s="2383"/>
      <c r="AE3" s="2383"/>
      <c r="AF3" s="2383"/>
      <c r="AG3" s="2383"/>
      <c r="AH3" s="2383"/>
      <c r="AI3" s="2383"/>
      <c r="AJ3" s="2383"/>
      <c r="AK3" s="2383"/>
      <c r="AL3" s="2383"/>
      <c r="AM3" s="2383"/>
      <c r="AN3" s="2383"/>
      <c r="AO3" s="2383"/>
      <c r="AP3" s="2383"/>
      <c r="AQ3" s="2383"/>
      <c r="AR3" s="2383"/>
      <c r="AS3" s="2383"/>
      <c r="AT3" s="2384"/>
      <c r="AU3" s="1484" t="s">
        <v>504</v>
      </c>
      <c r="AW3" s="722"/>
      <c r="AX3" s="722" t="str">
        <f>IF(T3="","",T3)</f>
        <v>Территория действия тарифа</v>
      </c>
      <c r="AY3" s="722"/>
      <c r="AZ3" s="722"/>
    </row>
    <row customHeight="1" ht="22.5">
      <c r="A4" s="1590"/>
      <c r="B4" s="1590"/>
      <c r="C4" s="1590"/>
      <c r="D4" s="1590"/>
      <c r="E4" s="2389"/>
      <c r="F4" s="2389"/>
      <c r="G4" s="2388">
        <v>1</v>
      </c>
      <c r="H4" s="1590"/>
      <c r="I4" s="1590"/>
      <c r="J4" s="1590"/>
      <c r="K4" s="1590"/>
      <c r="L4" s="1591"/>
      <c r="M4" s="1592"/>
      <c r="N4" s="1592"/>
      <c r="O4" s="1592"/>
      <c r="P4" s="1639"/>
      <c r="Q4" s="1638"/>
      <c r="R4" s="575"/>
      <c r="S4" s="1563">
        <f>INDEX(PT_DIFFERENTIATION_NUM_CS,MATCH(C4,PT_DIFFERENTIATION_CS_ID,0))</f>
      </c>
      <c r="T4" s="531" t="s">
        <v>505</v>
      </c>
      <c r="U4" s="522"/>
      <c r="V4" s="2383"/>
      <c r="W4" s="2383"/>
      <c r="X4" s="2383"/>
      <c r="Y4" s="2383"/>
      <c r="Z4" s="2383"/>
      <c r="AA4" s="2384"/>
      <c r="AB4" s="2382">
        <f>INDEX(PT_DIFFERENTIATION_CS,MATCH(C4,PT_DIFFERENTIATION_CS_ID,0))</f>
      </c>
      <c r="AC4" s="2383"/>
      <c r="AD4" s="2383"/>
      <c r="AE4" s="2383"/>
      <c r="AF4" s="2383"/>
      <c r="AG4" s="2383"/>
      <c r="AH4" s="2383"/>
      <c r="AI4" s="2383"/>
      <c r="AJ4" s="2383"/>
      <c r="AK4" s="2383"/>
      <c r="AL4" s="2383"/>
      <c r="AM4" s="2383"/>
      <c r="AN4" s="2383"/>
      <c r="AO4" s="2383"/>
      <c r="AP4" s="2383"/>
      <c r="AQ4" s="2383"/>
      <c r="AR4" s="2383"/>
      <c r="AS4" s="2383"/>
      <c r="AT4" s="2384"/>
      <c r="AU4" s="1484" t="s">
        <v>506</v>
      </c>
      <c r="AW4" s="722"/>
      <c r="AX4" s="722" t="str">
        <f>IF(T4="","",T4)</f>
        <v>Наименование системы теплоснабжения </v>
      </c>
      <c r="AY4" s="722"/>
      <c r="AZ4" s="722"/>
    </row>
    <row customHeight="1" ht="21">
      <c r="A5" s="1590"/>
      <c r="B5" s="1590"/>
      <c r="C5" s="1590"/>
      <c r="D5" s="1590"/>
      <c r="E5" s="2389"/>
      <c r="F5" s="2389"/>
      <c r="G5" s="2389"/>
      <c r="H5" s="2388">
        <v>1</v>
      </c>
      <c r="I5" s="1590"/>
      <c r="J5" s="1590"/>
      <c r="K5" s="1590"/>
      <c r="L5" s="1591"/>
      <c r="M5" s="1592"/>
      <c r="N5" s="1592"/>
      <c r="O5" s="1592"/>
      <c r="P5" s="1639"/>
      <c r="Q5" s="1638"/>
      <c r="R5" s="575"/>
      <c r="S5" s="1563">
        <f>INDEX(PT_DIFFERENTIATION_NUM_IST_TE,MATCH(D5,PT_DIFFERENTIATION_IST_TE_ID,0))</f>
      </c>
      <c r="T5" s="532" t="s">
        <v>507</v>
      </c>
      <c r="U5" s="522"/>
      <c r="V5" s="2383"/>
      <c r="W5" s="2383"/>
      <c r="X5" s="2383"/>
      <c r="Y5" s="2383"/>
      <c r="Z5" s="2383"/>
      <c r="AA5" s="2384"/>
      <c r="AB5" s="2382">
        <f>INDEX(PT_DIFFERENTIATION_IST_TE,MATCH(D5,PT_DIFFERENTIATION_IST_TE_ID,0))</f>
      </c>
      <c r="AC5" s="2383"/>
      <c r="AD5" s="2383"/>
      <c r="AE5" s="2383"/>
      <c r="AF5" s="2383"/>
      <c r="AG5" s="2383"/>
      <c r="AH5" s="2383"/>
      <c r="AI5" s="2383"/>
      <c r="AJ5" s="2383"/>
      <c r="AK5" s="2383"/>
      <c r="AL5" s="2383"/>
      <c r="AM5" s="2383"/>
      <c r="AN5" s="2383"/>
      <c r="AO5" s="2383"/>
      <c r="AP5" s="2383"/>
      <c r="AQ5" s="2383"/>
      <c r="AR5" s="2383"/>
      <c r="AS5" s="2383"/>
      <c r="AT5" s="2384"/>
      <c r="AU5" s="1484" t="s">
        <v>508</v>
      </c>
      <c r="AW5" s="722"/>
      <c r="AX5" s="722" t="str">
        <f>IF(T5="","",T5)</f>
        <v>Источник тепловой энергии  </v>
      </c>
      <c r="AY5" s="722"/>
      <c r="AZ5" s="722"/>
    </row>
    <row s="16622" customFormat="1" customHeight="1" ht="0">
      <c r="A6" s="1570"/>
      <c r="B6" s="1570"/>
      <c r="C6" s="1570"/>
      <c r="D6" s="1570"/>
      <c r="E6" s="2389"/>
      <c r="F6" s="2389"/>
      <c r="G6" s="2389"/>
      <c r="H6" s="2389"/>
      <c r="I6" s="2390">
        <f>S5&amp;".1"</f>
      </c>
      <c r="J6" s="1570"/>
      <c r="K6" s="1570"/>
      <c r="L6" s="1573" t="s">
        <v>509</v>
      </c>
      <c r="M6" s="732"/>
      <c r="N6" s="732"/>
      <c r="O6" s="732"/>
      <c r="P6" s="2392">
        <v>1</v>
      </c>
      <c r="Q6" s="1558"/>
      <c r="R6" s="578"/>
      <c r="S6" s="1265"/>
      <c r="T6" s="1610"/>
      <c r="U6" s="1611"/>
      <c r="V6" s="2431"/>
      <c r="W6" s="2431"/>
      <c r="X6" s="2431"/>
      <c r="Y6" s="2431"/>
      <c r="Z6" s="2431"/>
      <c r="AA6" s="2432"/>
      <c r="AB6" s="2430"/>
      <c r="AC6" s="2431"/>
      <c r="AD6" s="2431"/>
      <c r="AE6" s="2431"/>
      <c r="AF6" s="2431"/>
      <c r="AG6" s="2431"/>
      <c r="AH6" s="2431"/>
      <c r="AI6" s="2431"/>
      <c r="AJ6" s="2431"/>
      <c r="AK6" s="2431"/>
      <c r="AL6" s="2431"/>
      <c r="AM6" s="2431"/>
      <c r="AN6" s="2431"/>
      <c r="AO6" s="2431"/>
      <c r="AP6" s="2431"/>
      <c r="AQ6" s="2431"/>
      <c r="AR6" s="2431"/>
      <c r="AS6" s="2431"/>
      <c r="AT6" s="2432"/>
      <c r="AU6" s="1612"/>
      <c r="AW6" s="722"/>
      <c r="AX6" s="722" t="str">
        <f>IF(T6="","",T6)</f>
        <v/>
      </c>
      <c r="AY6" s="722"/>
      <c r="AZ6" s="722"/>
    </row>
    <row s="16622" customFormat="1" customHeight="1" ht="0">
      <c r="A7" s="1570"/>
      <c r="B7" s="1570"/>
      <c r="C7" s="1570"/>
      <c r="D7" s="1570"/>
      <c r="E7" s="2389"/>
      <c r="F7" s="2389"/>
      <c r="G7" s="2389"/>
      <c r="H7" s="2389"/>
      <c r="I7" s="2391"/>
      <c r="J7" s="2390">
        <f>S5&amp;".1"</f>
      </c>
      <c r="K7" s="1570"/>
      <c r="L7" s="1573"/>
      <c r="M7" s="732"/>
      <c r="N7" s="732"/>
      <c r="O7" s="732"/>
      <c r="P7" s="2392"/>
      <c r="Q7" s="2392">
        <v>1</v>
      </c>
      <c r="R7" s="579"/>
      <c r="S7" s="1265"/>
      <c r="T7" s="1626"/>
      <c r="U7" s="1611"/>
      <c r="V7" s="2431"/>
      <c r="W7" s="2431"/>
      <c r="X7" s="2431"/>
      <c r="Y7" s="2431"/>
      <c r="Z7" s="2431"/>
      <c r="AA7" s="2432"/>
      <c r="AB7" s="2430"/>
      <c r="AC7" s="2431"/>
      <c r="AD7" s="2431"/>
      <c r="AE7" s="2431"/>
      <c r="AF7" s="2431"/>
      <c r="AG7" s="2431"/>
      <c r="AH7" s="2431"/>
      <c r="AI7" s="2431"/>
      <c r="AJ7" s="2431"/>
      <c r="AK7" s="2431"/>
      <c r="AL7" s="2431"/>
      <c r="AM7" s="2431"/>
      <c r="AN7" s="2431"/>
      <c r="AO7" s="2431"/>
      <c r="AP7" s="2431"/>
      <c r="AQ7" s="2431"/>
      <c r="AR7" s="2431"/>
      <c r="AS7" s="2431"/>
      <c r="AT7" s="2432"/>
      <c r="AU7" s="1612"/>
      <c r="AW7" s="722"/>
      <c r="AX7" s="722" t="str">
        <f>IF(T7="","",T7)</f>
        <v/>
      </c>
      <c r="AY7" s="722"/>
      <c r="AZ7" s="722"/>
    </row>
    <row customHeight="1" ht="21">
      <c r="A8" s="1590"/>
      <c r="B8" s="1590"/>
      <c r="C8" s="1590"/>
      <c r="D8" s="1590"/>
      <c r="E8" s="2389"/>
      <c r="F8" s="2389"/>
      <c r="G8" s="2389"/>
      <c r="H8" s="2389"/>
      <c r="I8" s="2391"/>
      <c r="J8" s="2391"/>
      <c r="K8" s="2390">
        <f>S5&amp;".1"</f>
      </c>
      <c r="L8" s="1591"/>
      <c r="P8" s="2392"/>
      <c r="Q8" s="2392"/>
      <c r="R8" s="2468">
        <v>1</v>
      </c>
      <c r="S8" s="2465">
        <f>$K8</f>
      </c>
      <c r="T8" s="2462"/>
      <c r="U8" s="522"/>
      <c r="V8" s="973"/>
      <c r="W8" s="1483"/>
      <c r="X8" s="2393"/>
      <c r="Y8" s="2263" t="s">
        <v>63</v>
      </c>
      <c r="Z8" s="2393"/>
      <c r="AA8" s="2263" t="s">
        <v>63</v>
      </c>
      <c r="AB8" s="2263" t="s">
        <v>53</v>
      </c>
      <c r="AC8" s="2461"/>
      <c r="AD8" s="2339">
        <v>1</v>
      </c>
      <c r="AE8" s="2474"/>
      <c r="AF8" s="2263" t="s">
        <v>53</v>
      </c>
      <c r="AG8" s="2461"/>
      <c r="AH8" s="2339">
        <v>1</v>
      </c>
      <c r="AI8" s="2474"/>
      <c r="AJ8" s="2263" t="s">
        <v>53</v>
      </c>
      <c r="AK8" s="533"/>
      <c r="AL8" s="1564">
        <v>1</v>
      </c>
      <c r="AM8" s="1625"/>
      <c r="AN8" s="973"/>
      <c r="AO8" s="1483"/>
      <c r="AP8" s="1961"/>
      <c r="AQ8" s="1686" t="s">
        <v>63</v>
      </c>
      <c r="AR8" s="1961"/>
      <c r="AS8" s="1686" t="s">
        <v>63</v>
      </c>
      <c r="AT8" s="1575"/>
      <c r="AU8" s="2418" t="s">
        <v>567</v>
      </c>
      <c r="AV8" s="733">
        <f>STRCHECKDATE(V11:AT11)</f>
      </c>
      <c r="AW8" s="722"/>
      <c r="AX8" s="722" t="str">
        <f>IF(T8="","",T8)</f>
        <v/>
      </c>
      <c r="AY8" s="722"/>
      <c r="AZ8" s="722"/>
    </row>
    <row customHeight="1" ht="11.25">
      <c r="A9" s="1590"/>
      <c r="B9" s="1590"/>
      <c r="C9" s="1590"/>
      <c r="D9" s="1590"/>
      <c r="E9" s="2389"/>
      <c r="F9" s="2389"/>
      <c r="G9" s="2389"/>
      <c r="H9" s="2389"/>
      <c r="I9" s="2391"/>
      <c r="J9" s="2391"/>
      <c r="K9" s="2390"/>
      <c r="L9" s="1591"/>
      <c r="P9" s="2392"/>
      <c r="Q9" s="2392"/>
      <c r="R9" s="2468"/>
      <c r="S9" s="2466"/>
      <c r="T9" s="2463"/>
      <c r="U9" s="522"/>
      <c r="V9" s="1620"/>
      <c r="W9" s="1624"/>
      <c r="X9" s="2393"/>
      <c r="Y9" s="2263"/>
      <c r="Z9" s="2393"/>
      <c r="AA9" s="2263"/>
      <c r="AB9" s="2263"/>
      <c r="AC9" s="2461"/>
      <c r="AD9" s="2339"/>
      <c r="AE9" s="2474"/>
      <c r="AF9" s="2263"/>
      <c r="AG9" s="2461"/>
      <c r="AH9" s="2339"/>
      <c r="AI9" s="2474"/>
      <c r="AJ9" s="2263"/>
      <c r="AK9" s="538"/>
      <c r="AL9" s="638"/>
      <c r="AM9" s="637" t="s">
        <v>568</v>
      </c>
      <c r="AN9" s="1620"/>
      <c r="AO9" s="1723"/>
      <c r="AP9" s="1620"/>
      <c r="AQ9" s="1620"/>
      <c r="AR9" s="1620"/>
      <c r="AS9" s="1620"/>
      <c r="AT9" s="1617"/>
      <c r="AU9" s="2419"/>
      <c r="AW9" s="722"/>
      <c r="AX9" s="722"/>
      <c r="AY9" s="722"/>
      <c r="AZ9" s="722"/>
    </row>
    <row customHeight="1" ht="11.25">
      <c r="A10" s="1590"/>
      <c r="B10" s="1590"/>
      <c r="C10" s="1590"/>
      <c r="D10" s="1590"/>
      <c r="E10" s="2389"/>
      <c r="F10" s="2389"/>
      <c r="G10" s="2389"/>
      <c r="H10" s="2389"/>
      <c r="I10" s="2391"/>
      <c r="J10" s="2391"/>
      <c r="K10" s="2390"/>
      <c r="L10" s="1591"/>
      <c r="P10" s="2392"/>
      <c r="Q10" s="2392"/>
      <c r="R10" s="2468"/>
      <c r="S10" s="2466"/>
      <c r="T10" s="2463"/>
      <c r="U10" s="522"/>
      <c r="V10" s="1620"/>
      <c r="W10" s="1624"/>
      <c r="X10" s="2393"/>
      <c r="Y10" s="2263"/>
      <c r="Z10" s="2393"/>
      <c r="AA10" s="2263"/>
      <c r="AB10" s="2263"/>
      <c r="AC10" s="2461"/>
      <c r="AD10" s="2339"/>
      <c r="AE10" s="2474"/>
      <c r="AF10" s="2263"/>
      <c r="AG10" s="516"/>
      <c r="AH10" s="637"/>
      <c r="AI10" s="637" t="s">
        <v>569</v>
      </c>
      <c r="AJ10" s="1620"/>
      <c r="AK10" s="1620"/>
      <c r="AL10" s="1620"/>
      <c r="AM10" s="1620"/>
      <c r="AN10" s="1620"/>
      <c r="AO10" s="1723"/>
      <c r="AP10" s="1620"/>
      <c r="AQ10" s="1620"/>
      <c r="AR10" s="1620"/>
      <c r="AS10" s="1620"/>
      <c r="AT10" s="1617"/>
      <c r="AU10" s="2419"/>
      <c r="AW10" s="722"/>
      <c r="AX10" s="722"/>
      <c r="AY10" s="722"/>
      <c r="AZ10" s="722"/>
    </row>
    <row customHeight="1" ht="11.25">
      <c r="A11" s="1590"/>
      <c r="B11" s="1590"/>
      <c r="C11" s="1590"/>
      <c r="D11" s="1590"/>
      <c r="E11" s="2389"/>
      <c r="F11" s="2389"/>
      <c r="G11" s="2389"/>
      <c r="H11" s="2389"/>
      <c r="I11" s="2391"/>
      <c r="J11" s="2391"/>
      <c r="K11" s="2390"/>
      <c r="L11" s="1591"/>
      <c r="P11" s="2392"/>
      <c r="Q11" s="2392"/>
      <c r="R11" s="2468"/>
      <c r="S11" s="2467"/>
      <c r="T11" s="2464"/>
      <c r="U11" s="522"/>
      <c r="V11" s="1620"/>
      <c r="W11" s="1623" t="str">
        <f>X8&amp;"-"&amp;Z8</f>
        <v>-</v>
      </c>
      <c r="X11" s="2394"/>
      <c r="Y11" s="2263"/>
      <c r="Z11" s="2394"/>
      <c r="AA11" s="2263"/>
      <c r="AB11" s="2263"/>
      <c r="AC11" s="534"/>
      <c r="AD11" s="536"/>
      <c r="AE11" s="637" t="s">
        <v>570</v>
      </c>
      <c r="AF11" s="1620"/>
      <c r="AG11" s="1620"/>
      <c r="AH11" s="1620"/>
      <c r="AI11" s="1620"/>
      <c r="AJ11" s="1620"/>
      <c r="AK11" s="1620"/>
      <c r="AL11" s="1620"/>
      <c r="AM11" s="1620"/>
      <c r="AN11" s="1620"/>
      <c r="AO11" s="1621" t="str">
        <f>AP8&amp;"-"&amp;AR8</f>
        <v>-</v>
      </c>
      <c r="AP11" s="1620"/>
      <c r="AQ11" s="1620"/>
      <c r="AR11" s="1620"/>
      <c r="AS11" s="1620"/>
      <c r="AT11" s="1576"/>
      <c r="AU11" s="2419"/>
      <c r="AW11" s="722"/>
      <c r="AX11" s="722" t="str">
        <f>IF(T11="","",T11)</f>
        <v/>
      </c>
      <c r="AY11" s="722"/>
      <c r="AZ11" s="722"/>
    </row>
    <row customHeight="1" ht="11.25">
      <c r="A12" s="1590"/>
      <c r="B12" s="1590"/>
      <c r="C12" s="1590"/>
      <c r="D12" s="1590"/>
      <c r="E12" s="2389"/>
      <c r="F12" s="2389"/>
      <c r="G12" s="2389"/>
      <c r="H12" s="2389"/>
      <c r="I12" s="2391"/>
      <c r="J12" s="2390"/>
      <c r="K12" s="1590"/>
      <c r="L12" s="1591"/>
      <c r="P12" s="2392"/>
      <c r="Q12" s="2392"/>
      <c r="R12" s="578"/>
      <c r="S12" s="1505"/>
      <c r="T12" s="509" t="s">
        <v>571</v>
      </c>
      <c r="U12" s="589"/>
      <c r="V12" s="589"/>
      <c r="W12" s="589"/>
      <c r="X12" s="589"/>
      <c r="Y12" s="589"/>
      <c r="Z12" s="589"/>
      <c r="AA12" s="589"/>
      <c r="AB12" s="589"/>
      <c r="AC12" s="589"/>
      <c r="AD12" s="589"/>
      <c r="AE12" s="589"/>
      <c r="AF12" s="589"/>
      <c r="AG12" s="589"/>
      <c r="AH12" s="589"/>
      <c r="AI12" s="589"/>
      <c r="AJ12" s="589"/>
      <c r="AK12" s="589"/>
      <c r="AL12" s="589"/>
      <c r="AM12" s="589"/>
      <c r="AN12" s="589"/>
      <c r="AO12" s="589"/>
      <c r="AP12" s="589"/>
      <c r="AQ12" s="589"/>
      <c r="AR12" s="589"/>
      <c r="AS12" s="589"/>
      <c r="AT12" s="546"/>
      <c r="AU12" s="2420"/>
      <c r="AW12" s="722"/>
      <c r="AX12" s="722" t="str">
        <f>IF(T12="","",T12)</f>
        <v>Добавить строку</v>
      </c>
      <c r="AY12" s="722"/>
      <c r="AZ12" s="722"/>
    </row>
    <row s="16622" customFormat="1" customHeight="1" ht="0">
      <c r="A13" s="1570"/>
      <c r="B13" s="1570"/>
      <c r="C13" s="1570"/>
      <c r="D13" s="1570"/>
      <c r="E13" s="2389"/>
      <c r="F13" s="2389"/>
      <c r="G13" s="2389"/>
      <c r="H13" s="2389"/>
      <c r="I13" s="2390"/>
      <c r="J13" s="1570"/>
      <c r="K13" s="1570"/>
      <c r="L13" s="1573"/>
      <c r="M13" s="732"/>
      <c r="N13" s="732"/>
      <c r="O13" s="732"/>
      <c r="P13" s="2392"/>
      <c r="Q13" s="1558"/>
      <c r="R13" s="578"/>
      <c r="S13" s="1613"/>
      <c r="T13" s="1614"/>
      <c r="U13" s="1615"/>
      <c r="V13" s="1615"/>
      <c r="W13" s="1615"/>
      <c r="X13" s="1615"/>
      <c r="Y13" s="1615"/>
      <c r="Z13" s="1615"/>
      <c r="AA13" s="1615"/>
      <c r="AB13" s="1615"/>
      <c r="AC13" s="1615"/>
      <c r="AD13" s="1615"/>
      <c r="AE13" s="1615"/>
      <c r="AF13" s="1615"/>
      <c r="AG13" s="1615"/>
      <c r="AH13" s="1615"/>
      <c r="AI13" s="1615"/>
      <c r="AJ13" s="1615"/>
      <c r="AK13" s="1615"/>
      <c r="AL13" s="1615"/>
      <c r="AM13" s="1615"/>
      <c r="AN13" s="1615"/>
      <c r="AO13" s="1615"/>
      <c r="AP13" s="1615"/>
      <c r="AQ13" s="1615"/>
      <c r="AR13" s="1615"/>
      <c r="AS13" s="1615"/>
      <c r="AT13" s="1615"/>
      <c r="AU13" s="1616"/>
      <c r="AW13" s="722"/>
      <c r="AX13" s="722" t="str">
        <f>IF(T13="","",T13)</f>
        <v/>
      </c>
      <c r="AY13" s="722"/>
      <c r="AZ13" s="722"/>
    </row>
    <row s="16622" customFormat="1" customHeight="1" ht="0">
      <c r="A14" s="1570"/>
      <c r="B14" s="1570"/>
      <c r="C14" s="1570"/>
      <c r="D14" s="1570"/>
      <c r="E14" s="2389"/>
      <c r="F14" s="2389"/>
      <c r="G14" s="2389"/>
      <c r="H14" s="2388"/>
      <c r="I14" s="1570"/>
      <c r="J14" s="1570"/>
      <c r="K14" s="1570"/>
      <c r="L14" s="1573"/>
      <c r="M14" s="1542"/>
      <c r="N14" s="1542"/>
      <c r="O14" s="740"/>
      <c r="P14" s="602"/>
      <c r="Q14" s="1571"/>
      <c r="R14" s="1628"/>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6"/>
      <c r="AW14" s="722"/>
      <c r="AX14" s="722" t="str">
        <f>IF(T14="","",T14)</f>
        <v/>
      </c>
      <c r="AY14" s="722"/>
      <c r="AZ14" s="722"/>
    </row>
    <row s="16531" customFormat="1" customHeight="1" ht="0">
      <c r="A15" s="1570"/>
      <c r="B15" s="1570"/>
      <c r="C15" s="1570"/>
      <c r="D15" s="1541"/>
      <c r="E15" s="2389"/>
      <c r="F15" s="2389"/>
      <c r="G15" s="2388"/>
      <c r="H15" s="1541"/>
      <c r="I15" s="1541"/>
      <c r="J15" s="1541"/>
      <c r="K15" s="1541"/>
      <c r="L15" s="1566"/>
      <c r="M15" s="1542"/>
      <c r="N15" s="1542"/>
      <c r="P15" s="1543"/>
      <c r="Q15" s="1544"/>
      <c r="R15" s="1543"/>
      <c r="S15" s="1549"/>
      <c r="T15" s="1552" t="s">
        <v>520</v>
      </c>
      <c r="U15" s="1551"/>
      <c r="V15" s="1551"/>
      <c r="W15" s="1551"/>
      <c r="X15" s="1551"/>
      <c r="Y15" s="1551"/>
      <c r="Z15" s="1551"/>
      <c r="AA15" s="1551"/>
      <c r="AB15" s="1551"/>
      <c r="AC15" s="1551"/>
      <c r="AD15" s="1551"/>
      <c r="AE15" s="1551"/>
      <c r="AF15" s="1551"/>
      <c r="AG15" s="1551"/>
      <c r="AH15" s="1551"/>
      <c r="AI15" s="1551"/>
      <c r="AJ15" s="1551"/>
      <c r="AK15" s="1551"/>
      <c r="AL15" s="1551"/>
      <c r="AM15" s="1551"/>
      <c r="AN15" s="1551"/>
      <c r="AO15" s="1551"/>
      <c r="AP15" s="1551"/>
      <c r="AQ15" s="1551"/>
      <c r="AR15" s="1551"/>
      <c r="AS15" s="1551"/>
      <c r="AT15" s="1551"/>
      <c r="AU15" s="1551"/>
      <c r="AW15" s="1011"/>
      <c r="AX15" s="1011" t="str">
        <f>IF(T15="","",T15)</f>
        <v>Добавить источник для дифференциации</v>
      </c>
      <c r="AY15" s="1011"/>
      <c r="AZ15" s="1011"/>
    </row>
    <row s="16531" customFormat="1" customHeight="1" ht="0">
      <c r="A16" s="1570"/>
      <c r="B16" s="1570"/>
      <c r="C16" s="1541"/>
      <c r="D16" s="1541"/>
      <c r="E16" s="2389"/>
      <c r="F16" s="2388"/>
      <c r="G16" s="1541"/>
      <c r="H16" s="1541"/>
      <c r="I16" s="1541"/>
      <c r="J16" s="1541"/>
      <c r="K16" s="1541"/>
      <c r="L16" s="1566"/>
      <c r="M16" s="1548"/>
      <c r="N16" s="1548"/>
      <c r="P16" s="1543"/>
      <c r="Q16" s="1544"/>
      <c r="R16" s="1543"/>
      <c r="S16" s="1549"/>
      <c r="T16" s="1552" t="s">
        <v>305</v>
      </c>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W16" s="1011"/>
      <c r="AX16" s="1011" t="str">
        <f>IF(T16="","",T16)</f>
        <v>Добавить централизованную систему для дифференциации</v>
      </c>
      <c r="AY16" s="1011"/>
      <c r="AZ16" s="1011"/>
    </row>
    <row s="16622" customFormat="1" customHeight="1" ht="0">
      <c r="A17" s="1570"/>
      <c r="B17" s="1570"/>
      <c r="C17" s="1570"/>
      <c r="D17" s="1570"/>
      <c r="E17" s="2388"/>
      <c r="F17" s="1570"/>
      <c r="G17" s="1570"/>
      <c r="H17" s="1570"/>
      <c r="I17" s="1570"/>
      <c r="J17" s="1570"/>
      <c r="K17" s="1570"/>
      <c r="L17" s="1573"/>
      <c r="M17" s="1548"/>
      <c r="N17" s="1548"/>
      <c r="O17" s="740"/>
      <c r="P17" s="602"/>
      <c r="Q17" s="1571"/>
      <c r="R17" s="602"/>
      <c r="S17" s="1549"/>
      <c r="T17" s="1552" t="s">
        <v>358</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W17" s="722"/>
      <c r="AX17" s="722" t="str">
        <f>IF(T17="","",T17)</f>
        <v>Добавить территорию для дифференциации</v>
      </c>
      <c r="AY17" s="722"/>
      <c r="AZ17" s="722"/>
    </row>
    <row customHeight="1" ht="14.25">
      <c r="AA18" s="549"/>
      <c r="AS18" s="549"/>
    </row>
    <row customHeight="1" ht="14.25">
      <c r="AB19" s="1551" t="s">
        <v>53</v>
      </c>
      <c r="AC19" s="1728"/>
      <c r="AD19" s="770">
        <v>1</v>
      </c>
      <c r="AE19" s="1729"/>
      <c r="AF19" s="1551" t="s">
        <v>53</v>
      </c>
      <c r="AG19" s="1728"/>
      <c r="AH19" s="770">
        <v>1</v>
      </c>
      <c r="AI19" s="1729"/>
      <c r="AJ19" s="1551" t="s">
        <v>53</v>
      </c>
      <c r="AK19" s="1730"/>
      <c r="AL19" s="770">
        <v>1</v>
      </c>
      <c r="AM19" s="1733"/>
      <c r="AN19" s="1630"/>
      <c r="AO19" s="1631"/>
      <c r="AP19" s="1963"/>
      <c r="AQ19" s="1687" t="s">
        <v>63</v>
      </c>
      <c r="AR19" s="1963"/>
      <c r="AS19" s="1687" t="s">
        <v>63</v>
      </c>
    </row>
    <row customHeight="1" ht="14.25">
      <c r="AV20" s="718"/>
      <c r="AW20" s="718"/>
      <c r="AX20" s="718"/>
      <c r="AY20" s="718"/>
      <c r="AZ20" s="718"/>
    </row>
    <row customHeight="1" ht="14.25">
      <c r="O21" s="1594" t="s">
        <v>521</v>
      </c>
      <c r="X21" s="1572"/>
      <c r="Z21" s="1572"/>
      <c r="AA21" s="549"/>
      <c r="AP21" s="1572"/>
      <c r="AR21" s="1572"/>
      <c r="AS21" s="549"/>
      <c r="AV21" s="718"/>
      <c r="AW21" s="718"/>
      <c r="AX21" s="718"/>
      <c r="AY21" s="718"/>
      <c r="AZ21" s="718"/>
    </row>
    <row customHeight="1" ht="14.25">
      <c r="AA22" s="549"/>
      <c r="AS22" s="549"/>
      <c r="AV22" s="718"/>
      <c r="AW22" s="718"/>
      <c r="AX22" s="718"/>
      <c r="AY22" s="718"/>
      <c r="AZ22" s="718"/>
    </row>
    <row s="16777" customFormat="1" customHeight="1" ht="14.25">
      <c r="M23" s="1735"/>
      <c r="N23" s="1735"/>
      <c r="O23" s="1736" t="s">
        <v>522</v>
      </c>
      <c r="P23" s="1735"/>
      <c r="Q23" s="1737"/>
      <c r="R23" s="1737"/>
      <c r="Y23" s="1734" t="s">
        <v>524</v>
      </c>
      <c r="AA23" s="1734" t="s">
        <v>525</v>
      </c>
      <c r="AB23" s="1734" t="s">
        <v>572</v>
      </c>
      <c r="AE23" s="1734" t="s">
        <v>573</v>
      </c>
      <c r="AF23" s="1734" t="s">
        <v>572</v>
      </c>
      <c r="AI23" s="1734" t="s">
        <v>574</v>
      </c>
      <c r="AJ23" s="1734" t="s">
        <v>572</v>
      </c>
      <c r="AM23" s="1734" t="s">
        <v>575</v>
      </c>
      <c r="AQ23" s="1734" t="s">
        <v>524</v>
      </c>
      <c r="AS23" s="1734" t="s">
        <v>525</v>
      </c>
      <c r="AV23" s="1738"/>
      <c r="AW23" s="1738"/>
      <c r="AX23" s="1738"/>
      <c r="AY23" s="1738"/>
      <c r="AZ23" s="1738"/>
    </row>
    <row customHeight="1" ht="14.25">
      <c r="O24" s="1591"/>
      <c r="AV24" s="718"/>
      <c r="AW24" s="718"/>
      <c r="AX24" s="718"/>
      <c r="AY24" s="718"/>
      <c r="AZ24" s="718"/>
    </row>
    <row customHeight="1" ht="14.25">
      <c r="O25" s="1591"/>
      <c r="AV25" s="718"/>
      <c r="AW25" s="718"/>
      <c r="AX25" s="718"/>
      <c r="AY25" s="718"/>
      <c r="AZ25" s="718"/>
    </row>
    <row customHeight="1" ht="14.25">
      <c r="Q26" s="513"/>
      <c r="R26" s="598"/>
      <c r="S26" s="1502"/>
      <c r="T26" s="585"/>
      <c r="U26" s="585"/>
      <c r="V26" s="731"/>
      <c r="W26" s="731"/>
      <c r="X26" s="731"/>
      <c r="Y26" s="731"/>
      <c r="Z26" s="731"/>
      <c r="AA26" s="731"/>
      <c r="AB26" s="731"/>
      <c r="AC26" s="731"/>
      <c r="AD26" s="731"/>
      <c r="AE26" s="731"/>
      <c r="AF26" s="731"/>
      <c r="AG26" s="731"/>
      <c r="AH26" s="731"/>
      <c r="AI26" s="731"/>
      <c r="AJ26" s="731"/>
      <c r="AK26" s="731"/>
      <c r="AL26" s="731"/>
      <c r="AM26" s="731"/>
      <c r="AN26" s="731"/>
      <c r="AO26" s="731"/>
      <c r="AP26" s="731"/>
      <c r="AQ26" s="731"/>
      <c r="AR26" s="731"/>
      <c r="AS26" s="731"/>
    </row>
    <row customHeight="1" ht="26.25">
      <c r="Q27" s="513"/>
      <c r="R27" s="598"/>
      <c r="S27" s="242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21"/>
      <c r="U27" s="2421"/>
      <c r="V27" s="2421"/>
      <c r="W27" s="2421"/>
      <c r="X27" s="2421"/>
      <c r="Y27" s="2421"/>
      <c r="Z27" s="2421"/>
      <c r="AA27" s="2421"/>
      <c r="AB27" s="2421"/>
      <c r="AC27" s="2421"/>
      <c r="AD27" s="2421"/>
      <c r="AE27" s="2421"/>
      <c r="AF27" s="2421"/>
      <c r="AG27" s="2421"/>
      <c r="AH27" s="2421"/>
      <c r="AI27" s="2421"/>
      <c r="AJ27" s="2421"/>
      <c r="AK27" s="2421"/>
      <c r="AL27" s="2421"/>
      <c r="AM27" s="2421"/>
      <c r="AN27" s="2421"/>
      <c r="AO27" s="2421"/>
      <c r="AP27" s="2421"/>
      <c r="AQ27" s="2421"/>
      <c r="AR27" s="2421"/>
      <c r="AS27" s="1469"/>
    </row>
    <row customHeight="1" ht="14.25">
      <c r="Q28" s="513"/>
      <c r="R28" s="598"/>
      <c r="S28" s="2422" t="str">
        <f>IF(org=0,"Не определено",org)</f>
        <v>КГУП "Примтеплоэнерго"</v>
      </c>
      <c r="T28" s="2422"/>
      <c r="U28" s="2422"/>
      <c r="V28" s="2422"/>
      <c r="W28" s="2422"/>
      <c r="X28" s="2422"/>
      <c r="Y28" s="2422"/>
      <c r="Z28" s="2422"/>
      <c r="AA28" s="2422"/>
      <c r="AB28" s="2422"/>
      <c r="AC28" s="2422"/>
      <c r="AD28" s="2422"/>
      <c r="AE28" s="2422"/>
      <c r="AF28" s="2422"/>
      <c r="AG28" s="2422"/>
      <c r="AH28" s="2422"/>
      <c r="AI28" s="2422"/>
      <c r="AJ28" s="2422"/>
      <c r="AK28" s="2422"/>
      <c r="AL28" s="2422"/>
      <c r="AM28" s="2422"/>
      <c r="AN28" s="2422"/>
      <c r="AO28" s="2422"/>
      <c r="AP28" s="2422"/>
      <c r="AQ28" s="2422"/>
      <c r="AR28" s="2422"/>
      <c r="AS28" s="1469"/>
    </row>
    <row customHeight="1" ht="14.25" hidden="1">
      <c r="Q29" s="513"/>
      <c r="R29" s="598"/>
      <c r="S29" s="1502"/>
      <c r="T29" s="585"/>
      <c r="U29" s="585"/>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731"/>
    </row>
    <row s="16563" customFormat="1" customHeight="1" ht="25.5" hidden="1">
      <c r="A30" s="1595"/>
      <c r="B30" s="1595"/>
      <c r="C30" s="1595"/>
      <c r="D30" s="1595"/>
      <c r="E30" s="1595"/>
      <c r="F30" s="1595"/>
      <c r="G30" s="1595"/>
      <c r="H30" s="1595"/>
      <c r="I30" s="1595"/>
      <c r="J30" s="1595"/>
      <c r="K30" s="1595"/>
      <c r="L30" s="1596"/>
      <c r="M30" s="1595"/>
      <c r="N30" s="1595"/>
      <c r="O30" s="1595"/>
      <c r="P30" s="1595"/>
      <c r="Q30" s="1595"/>
      <c r="S30" s="2379" t="s">
        <v>38</v>
      </c>
      <c r="T30" s="2379"/>
      <c r="U30" s="1599"/>
      <c r="V30" s="2381" t="str">
        <f>IF(TITLE_NAME_OR_PR_CHANGE="",IF(TITLE_NAME_OR_PR="","",TITLE_NAME_OR_PR),TITLE_NAME_OR_PR_CHANGE)</f>
        <v/>
      </c>
      <c r="W30" s="2381"/>
      <c r="X30" s="2381"/>
      <c r="Y30" s="2381"/>
      <c r="Z30" s="2381"/>
      <c r="AA30" s="548"/>
      <c r="AB30" s="2381" t="str">
        <f>IF(TITLE_NAME_OR_PR_CHANGE="",IF(TITLE_NAME_OR_PR="","",TITLE_NAME_OR_PR),TITLE_NAME_OR_PR_CHANGE)</f>
        <v/>
      </c>
      <c r="AC30" s="2381"/>
      <c r="AD30" s="2381"/>
      <c r="AE30" s="2381"/>
      <c r="AF30" s="2381"/>
      <c r="AG30" s="2381"/>
      <c r="AH30" s="2381"/>
      <c r="AI30" s="2381"/>
      <c r="AJ30" s="2381"/>
      <c r="AK30" s="2381"/>
      <c r="AL30" s="2381"/>
      <c r="AM30" s="2381"/>
      <c r="AN30" s="2381"/>
      <c r="AO30" s="2381"/>
      <c r="AP30" s="2381"/>
      <c r="AQ30" s="2381"/>
      <c r="AR30" s="2381"/>
      <c r="AS30" s="548"/>
      <c r="AT30" s="548"/>
      <c r="AU30" s="502"/>
      <c r="AV30" s="590"/>
      <c r="AW30" s="590"/>
      <c r="AX30" s="590"/>
      <c r="AY30" s="590"/>
      <c r="AZ30" s="590"/>
    </row>
    <row s="16563" customFormat="1" customHeight="1" ht="18.75" hidden="1">
      <c r="A31" s="1595"/>
      <c r="B31" s="1595"/>
      <c r="C31" s="1595"/>
      <c r="D31" s="1595"/>
      <c r="E31" s="1595"/>
      <c r="F31" s="1595"/>
      <c r="G31" s="1595"/>
      <c r="H31" s="1595"/>
      <c r="I31" s="1595"/>
      <c r="J31" s="1595"/>
      <c r="K31" s="1595"/>
      <c r="L31" s="1596"/>
      <c r="M31" s="1595"/>
      <c r="N31" s="1595"/>
      <c r="O31" s="1595"/>
      <c r="P31" s="1595"/>
      <c r="Q31" s="1595"/>
      <c r="S31" s="2379" t="s">
        <v>527</v>
      </c>
      <c r="T31" s="2379"/>
      <c r="U31" s="1599"/>
      <c r="V31" s="2380" t="str">
        <f>IF(TITLE_DATE_PR_CHANGE="",IF(TITLE_DATE_PR="","",TITLE_DATE_PR),TITLE_DATE_PR_CHANGE)</f>
        <v>45407.47206018519</v>
      </c>
      <c r="W31" s="2380"/>
      <c r="X31" s="2380"/>
      <c r="Y31" s="2380"/>
      <c r="Z31" s="2380"/>
      <c r="AA31" s="548"/>
      <c r="AB31" s="2380" t="str">
        <f>IF(TITLE_DATE_PR_CHANGE="",IF(TITLE_DATE_PR="","",TITLE_DATE_PR),TITLE_DATE_PR_CHANGE)</f>
        <v>45407.47206018519</v>
      </c>
      <c r="AC31" s="2380"/>
      <c r="AD31" s="2380"/>
      <c r="AE31" s="2380"/>
      <c r="AF31" s="2380"/>
      <c r="AG31" s="2380"/>
      <c r="AH31" s="2380"/>
      <c r="AI31" s="2380"/>
      <c r="AJ31" s="2380"/>
      <c r="AK31" s="2380"/>
      <c r="AL31" s="2380"/>
      <c r="AM31" s="2380"/>
      <c r="AN31" s="2380"/>
      <c r="AO31" s="2380"/>
      <c r="AP31" s="2380"/>
      <c r="AQ31" s="2380"/>
      <c r="AR31" s="2380"/>
      <c r="AS31" s="548"/>
      <c r="AT31" s="548"/>
      <c r="AU31" s="502"/>
      <c r="AV31" s="590"/>
      <c r="AW31" s="590"/>
      <c r="AX31" s="590"/>
      <c r="AY31" s="590"/>
      <c r="AZ31" s="590"/>
    </row>
    <row s="16563" customFormat="1" customHeight="1" ht="18.75" hidden="1">
      <c r="A32" s="1595"/>
      <c r="B32" s="1595"/>
      <c r="C32" s="1595"/>
      <c r="D32" s="1595"/>
      <c r="E32" s="1595"/>
      <c r="F32" s="1595"/>
      <c r="G32" s="1595"/>
      <c r="H32" s="1595"/>
      <c r="I32" s="1595"/>
      <c r="J32" s="1595"/>
      <c r="K32" s="1595"/>
      <c r="L32" s="1596"/>
      <c r="M32" s="1595"/>
      <c r="N32" s="1595"/>
      <c r="O32" s="1595"/>
      <c r="P32" s="1595"/>
      <c r="Q32" s="1595"/>
      <c r="S32" s="2379" t="s">
        <v>528</v>
      </c>
      <c r="T32" s="2379"/>
      <c r="U32" s="1599"/>
      <c r="V32" s="2381" t="str">
        <f>IF(TITLE_NUMBER_PR_CHANGE="",IF(TITLE_NUMBER_PR="","",TITLE_NUMBER_PR),TITLE_NUMBER_PR_CHANGE)</f>
        <v>27-2067</v>
      </c>
      <c r="W32" s="2381"/>
      <c r="X32" s="2381"/>
      <c r="Y32" s="2381"/>
      <c r="Z32" s="2381"/>
      <c r="AA32" s="548"/>
      <c r="AB32" s="2381" t="str">
        <f>IF(TITLE_NUMBER_PR_CHANGE="",IF(TITLE_NUMBER_PR="","",TITLE_NUMBER_PR),TITLE_NUMBER_PR_CHANGE)</f>
        <v>27-2067</v>
      </c>
      <c r="AC32" s="2381"/>
      <c r="AD32" s="2381"/>
      <c r="AE32" s="2381"/>
      <c r="AF32" s="2381"/>
      <c r="AG32" s="2381"/>
      <c r="AH32" s="2381"/>
      <c r="AI32" s="2381"/>
      <c r="AJ32" s="2381"/>
      <c r="AK32" s="2381"/>
      <c r="AL32" s="2381"/>
      <c r="AM32" s="2381"/>
      <c r="AN32" s="2381"/>
      <c r="AO32" s="2381"/>
      <c r="AP32" s="2381"/>
      <c r="AQ32" s="2381"/>
      <c r="AR32" s="2381"/>
      <c r="AS32" s="548"/>
      <c r="AT32" s="548"/>
      <c r="AU32" s="502"/>
      <c r="AV32" s="590"/>
      <c r="AW32" s="590"/>
      <c r="AX32" s="590"/>
      <c r="AY32" s="590"/>
      <c r="AZ32" s="590"/>
    </row>
    <row s="16563" customFormat="1" customHeight="1" ht="18.75" hidden="1">
      <c r="A33" s="1595"/>
      <c r="B33" s="1595"/>
      <c r="C33" s="1595"/>
      <c r="D33" s="1595"/>
      <c r="E33" s="1595"/>
      <c r="F33" s="1595"/>
      <c r="G33" s="1595"/>
      <c r="H33" s="1595"/>
      <c r="I33" s="1595"/>
      <c r="J33" s="1595"/>
      <c r="K33" s="1595"/>
      <c r="L33" s="1596"/>
      <c r="M33" s="1595"/>
      <c r="N33" s="1595"/>
      <c r="O33" s="1595"/>
      <c r="P33" s="1595"/>
      <c r="Q33" s="1595"/>
      <c r="S33" s="2379" t="s">
        <v>39</v>
      </c>
      <c r="T33" s="2379"/>
      <c r="U33" s="1599"/>
      <c r="V33" s="2381" t="str">
        <f>IF(TITLE_IST_PUB_CHANGE="",IF(TITLE_IST_PUB="","",TITLE_IST_PUB),TITLE_IST_PUB_CHANGE)</f>
        <v/>
      </c>
      <c r="W33" s="2381"/>
      <c r="X33" s="2381"/>
      <c r="Y33" s="2381"/>
      <c r="Z33" s="2381"/>
      <c r="AA33" s="548"/>
      <c r="AB33" s="2381" t="str">
        <f>IF(TITLE_IST_PUB_CHANGE="",IF(TITLE_IST_PUB="","",TITLE_IST_PUB),TITLE_IST_PUB_CHANGE)</f>
        <v/>
      </c>
      <c r="AC33" s="2381"/>
      <c r="AD33" s="2381"/>
      <c r="AE33" s="2381"/>
      <c r="AF33" s="2381"/>
      <c r="AG33" s="2381"/>
      <c r="AH33" s="2381"/>
      <c r="AI33" s="2381"/>
      <c r="AJ33" s="2381"/>
      <c r="AK33" s="2381"/>
      <c r="AL33" s="2381"/>
      <c r="AM33" s="2381"/>
      <c r="AN33" s="2381"/>
      <c r="AO33" s="2381"/>
      <c r="AP33" s="2381"/>
      <c r="AQ33" s="2381"/>
      <c r="AR33" s="2381"/>
      <c r="AS33" s="548"/>
      <c r="AT33" s="548"/>
      <c r="AU33" s="502"/>
      <c r="AV33" s="590"/>
      <c r="AW33" s="590"/>
      <c r="AX33" s="590"/>
      <c r="AY33" s="590"/>
      <c r="AZ33" s="590"/>
    </row>
    <row customHeight="1" ht="14.25">
      <c r="Q34" s="513"/>
      <c r="R34" s="598"/>
      <c r="S34" s="1502"/>
      <c r="T34" s="585"/>
      <c r="U34" s="585"/>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731"/>
    </row>
    <row s="16563" customFormat="1" customHeight="1" ht="18.75">
      <c r="A35" s="1595"/>
      <c r="B35" s="1595"/>
      <c r="C35" s="1595"/>
      <c r="D35" s="1595"/>
      <c r="E35" s="1595"/>
      <c r="F35" s="1595"/>
      <c r="G35" s="1595"/>
      <c r="H35" s="1595"/>
      <c r="I35" s="1595"/>
      <c r="J35" s="1595"/>
      <c r="K35" s="1595"/>
      <c r="L35" s="1596"/>
      <c r="M35" s="1595"/>
      <c r="N35" s="1595"/>
      <c r="O35" s="1595"/>
      <c r="P35" s="1595"/>
      <c r="Q35" s="1595"/>
      <c r="S35" s="2379" t="s">
        <v>527</v>
      </c>
      <c r="T35" s="2379"/>
      <c r="U35" s="1599"/>
      <c r="V35" s="2380" t="str">
        <f>IF(TITLE_DATE_PR_CHANGE="",IF(TITLE_DATE_PR="","",TITLE_DATE_PR),TITLE_DATE_PR_CHANGE)</f>
        <v>45407.47206018519</v>
      </c>
      <c r="W35" s="2380"/>
      <c r="X35" s="2380"/>
      <c r="Y35" s="2380"/>
      <c r="Z35" s="2380"/>
      <c r="AA35" s="548"/>
      <c r="AB35" s="2380" t="str">
        <f>IF(TITLE_DATE_PR_CHANGE="",IF(TITLE_DATE_PR="","",TITLE_DATE_PR),TITLE_DATE_PR_CHANGE)</f>
        <v>45407.47206018519</v>
      </c>
      <c r="AC35" s="2380"/>
      <c r="AD35" s="2380"/>
      <c r="AE35" s="2380"/>
      <c r="AF35" s="2380"/>
      <c r="AG35" s="2380"/>
      <c r="AH35" s="2380"/>
      <c r="AI35" s="2380"/>
      <c r="AJ35" s="2380"/>
      <c r="AK35" s="2380"/>
      <c r="AL35" s="2380"/>
      <c r="AM35" s="2380"/>
      <c r="AN35" s="2380"/>
      <c r="AO35" s="2380"/>
      <c r="AP35" s="2380"/>
      <c r="AQ35" s="2380"/>
      <c r="AR35" s="2380"/>
      <c r="AS35" s="548"/>
      <c r="AT35" s="548"/>
      <c r="AU35" s="502"/>
      <c r="AV35" s="590"/>
      <c r="AW35" s="590"/>
      <c r="AX35" s="590"/>
      <c r="AY35" s="590"/>
      <c r="AZ35" s="590"/>
    </row>
    <row s="16563" customFormat="1" customHeight="1" ht="18">
      <c r="A36" s="1595"/>
      <c r="B36" s="1595"/>
      <c r="C36" s="1595"/>
      <c r="D36" s="1595"/>
      <c r="E36" s="1595"/>
      <c r="F36" s="1595"/>
      <c r="G36" s="1595"/>
      <c r="H36" s="1595"/>
      <c r="I36" s="1595"/>
      <c r="J36" s="1595"/>
      <c r="K36" s="1595"/>
      <c r="L36" s="1596"/>
      <c r="M36" s="1595"/>
      <c r="N36" s="1595"/>
      <c r="O36" s="1595"/>
      <c r="P36" s="1595"/>
      <c r="Q36" s="1595"/>
      <c r="S36" s="2379" t="s">
        <v>528</v>
      </c>
      <c r="T36" s="2379"/>
      <c r="U36" s="1599"/>
      <c r="V36" s="2381" t="str">
        <f>IF(TITLE_NUMBER_PR_CHANGE="",IF(TITLE_NUMBER_PR="","",TITLE_NUMBER_PR),TITLE_NUMBER_PR_CHANGE)</f>
        <v>27-2067</v>
      </c>
      <c r="W36" s="2381"/>
      <c r="X36" s="2381"/>
      <c r="Y36" s="2381"/>
      <c r="Z36" s="2381"/>
      <c r="AA36" s="548"/>
      <c r="AB36" s="2381" t="str">
        <f>IF(TITLE_NUMBER_PR_CHANGE="",IF(TITLE_NUMBER_PR="","",TITLE_NUMBER_PR),TITLE_NUMBER_PR_CHANGE)</f>
        <v>27-2067</v>
      </c>
      <c r="AC36" s="2381"/>
      <c r="AD36" s="2381"/>
      <c r="AE36" s="2381"/>
      <c r="AF36" s="2381"/>
      <c r="AG36" s="2381"/>
      <c r="AH36" s="2381"/>
      <c r="AI36" s="2381"/>
      <c r="AJ36" s="2381"/>
      <c r="AK36" s="2381"/>
      <c r="AL36" s="2381"/>
      <c r="AM36" s="2381"/>
      <c r="AN36" s="2381"/>
      <c r="AO36" s="2381"/>
      <c r="AP36" s="2381"/>
      <c r="AQ36" s="2381"/>
      <c r="AR36" s="2381"/>
      <c r="AS36" s="548"/>
      <c r="AT36" s="548"/>
      <c r="AU36" s="502"/>
      <c r="AV36" s="590"/>
      <c r="AW36" s="590"/>
      <c r="AX36" s="590"/>
      <c r="AY36" s="590"/>
      <c r="AZ36" s="590"/>
    </row>
    <row s="16563" customFormat="1" customHeight="1" ht="0.75">
      <c r="A37" s="1595"/>
      <c r="B37" s="1595"/>
      <c r="C37" s="1595"/>
      <c r="D37" s="1595"/>
      <c r="E37" s="1595"/>
      <c r="F37" s="1595"/>
      <c r="G37" s="1595"/>
      <c r="H37" s="1595"/>
      <c r="I37" s="1595"/>
      <c r="J37" s="1595"/>
      <c r="K37" s="1595"/>
      <c r="L37" s="1596"/>
      <c r="M37" s="1595"/>
      <c r="N37" s="1595"/>
      <c r="O37" s="1595"/>
      <c r="P37" s="1595"/>
      <c r="Q37" s="1595"/>
      <c r="S37" s="545"/>
      <c r="T37" s="545"/>
      <c r="U37" s="1567"/>
      <c r="V37" s="548"/>
      <c r="W37" s="548"/>
      <c r="X37" s="548"/>
      <c r="Y37" s="548"/>
      <c r="Z37" s="548"/>
      <c r="AA37" s="500" t="s">
        <v>531</v>
      </c>
      <c r="AB37" s="548"/>
      <c r="AC37" s="548"/>
      <c r="AD37" s="548"/>
      <c r="AE37" s="548"/>
      <c r="AF37" s="548"/>
      <c r="AG37" s="548"/>
      <c r="AH37" s="548"/>
      <c r="AI37" s="548"/>
      <c r="AJ37" s="548"/>
      <c r="AK37" s="548"/>
      <c r="AL37" s="548"/>
      <c r="AM37" s="548"/>
      <c r="AN37" s="548"/>
      <c r="AO37" s="548"/>
      <c r="AP37" s="548"/>
      <c r="AQ37" s="548"/>
      <c r="AR37" s="548"/>
      <c r="AS37" s="500" t="s">
        <v>531</v>
      </c>
      <c r="AV37" s="590"/>
      <c r="AW37" s="590"/>
      <c r="AX37" s="590"/>
      <c r="AY37" s="590"/>
      <c r="AZ37" s="590"/>
    </row>
    <row customHeight="1" ht="14.25">
      <c r="Q38" s="513"/>
      <c r="R38" s="598"/>
      <c r="S38" s="1502"/>
      <c r="T38" s="585"/>
      <c r="U38" s="1470"/>
      <c r="V38" s="2405"/>
      <c r="W38" s="2405"/>
      <c r="X38" s="2405"/>
      <c r="Y38" s="2405"/>
      <c r="Z38" s="2405"/>
      <c r="AA38" s="2405"/>
      <c r="AB38" s="2405"/>
      <c r="AC38" s="2405"/>
      <c r="AD38" s="2405"/>
      <c r="AE38" s="2405"/>
      <c r="AF38" s="2405"/>
      <c r="AG38" s="2405"/>
      <c r="AH38" s="2405"/>
      <c r="AI38" s="2405"/>
      <c r="AJ38" s="2405"/>
      <c r="AK38" s="2405"/>
      <c r="AL38" s="2405"/>
      <c r="AM38" s="2405"/>
      <c r="AN38" s="2405"/>
      <c r="AO38" s="2405"/>
      <c r="AP38" s="2405"/>
      <c r="AQ38" s="2405"/>
      <c r="AR38" s="2405"/>
      <c r="AS38" s="2405"/>
    </row>
    <row customHeight="1" ht="14.25">
      <c r="Q39" s="513"/>
      <c r="R39" s="598"/>
      <c r="S39" s="2253" t="s">
        <v>406</v>
      </c>
      <c r="T39" s="2253"/>
      <c r="U39" s="2253"/>
      <c r="V39" s="2253"/>
      <c r="W39" s="2253"/>
      <c r="X39" s="2253"/>
      <c r="Y39" s="2253"/>
      <c r="Z39" s="2253"/>
      <c r="AA39" s="2253"/>
      <c r="AB39" s="2310"/>
      <c r="AC39" s="2310"/>
      <c r="AD39" s="2310"/>
      <c r="AE39" s="2310"/>
      <c r="AF39" s="2253"/>
      <c r="AG39" s="2253"/>
      <c r="AH39" s="2253"/>
      <c r="AI39" s="2253"/>
      <c r="AJ39" s="2253"/>
      <c r="AK39" s="2253"/>
      <c r="AL39" s="2253"/>
      <c r="AM39" s="2253"/>
      <c r="AN39" s="2253"/>
      <c r="AO39" s="2253"/>
      <c r="AP39" s="2253"/>
      <c r="AQ39" s="2253"/>
      <c r="AR39" s="2253"/>
      <c r="AS39" s="2253"/>
      <c r="AT39" s="2253"/>
      <c r="AU39" s="2253" t="s">
        <v>407</v>
      </c>
    </row>
    <row customHeight="1" ht="14.25">
      <c r="Q40" s="513"/>
      <c r="R40" s="598"/>
      <c r="S40" s="2406" t="s">
        <v>84</v>
      </c>
      <c r="T40" s="2343" t="s">
        <v>576</v>
      </c>
      <c r="U40" s="523"/>
      <c r="V40" s="2408"/>
      <c r="W40" s="2408"/>
      <c r="X40" s="2408"/>
      <c r="Y40" s="2408"/>
      <c r="Z40" s="2409"/>
      <c r="AA40" s="2470" t="s">
        <v>534</v>
      </c>
      <c r="AB40" s="2454" t="s">
        <v>577</v>
      </c>
      <c r="AC40" s="2429"/>
      <c r="AD40" s="2429"/>
      <c r="AE40" s="2455"/>
      <c r="AF40" s="2429" t="s">
        <v>578</v>
      </c>
      <c r="AG40" s="2429"/>
      <c r="AH40" s="2429"/>
      <c r="AI40" s="2455"/>
      <c r="AJ40" s="2454" t="s">
        <v>579</v>
      </c>
      <c r="AK40" s="2429"/>
      <c r="AL40" s="2429"/>
      <c r="AM40" s="2455"/>
      <c r="AN40" s="2454" t="s">
        <v>533</v>
      </c>
      <c r="AO40" s="2429"/>
      <c r="AP40" s="2408"/>
      <c r="AQ40" s="2408"/>
      <c r="AR40" s="2409"/>
      <c r="AS40" s="2410" t="s">
        <v>534</v>
      </c>
      <c r="AT40" s="2413" t="s">
        <v>536</v>
      </c>
      <c r="AU40" s="2253"/>
    </row>
    <row customHeight="1" ht="33.75">
      <c r="Q41" s="513"/>
      <c r="R41" s="598"/>
      <c r="S41" s="2406"/>
      <c r="T41" s="2343"/>
      <c r="U41" s="1254"/>
      <c r="V41" s="2311" t="s">
        <v>580</v>
      </c>
      <c r="W41" s="2312"/>
      <c r="X41" s="2427" t="s">
        <v>540</v>
      </c>
      <c r="Y41" s="2445"/>
      <c r="Z41" s="2446"/>
      <c r="AA41" s="2471"/>
      <c r="AB41" s="2456"/>
      <c r="AC41" s="2457"/>
      <c r="AD41" s="2457"/>
      <c r="AE41" s="2469"/>
      <c r="AF41" s="2457"/>
      <c r="AG41" s="2457"/>
      <c r="AH41" s="2457"/>
      <c r="AI41" s="2469"/>
      <c r="AJ41" s="2456"/>
      <c r="AK41" s="2457"/>
      <c r="AL41" s="2457"/>
      <c r="AM41" s="2457"/>
      <c r="AN41" s="2253" t="s">
        <v>581</v>
      </c>
      <c r="AO41" s="2253"/>
      <c r="AP41" s="2445" t="s">
        <v>540</v>
      </c>
      <c r="AQ41" s="2445"/>
      <c r="AR41" s="2446"/>
      <c r="AS41" s="2411"/>
      <c r="AT41" s="2414"/>
      <c r="AU41" s="2253"/>
    </row>
    <row customHeight="1" ht="14.25">
      <c r="Q42" s="513"/>
      <c r="R42" s="598"/>
      <c r="S42" s="2406"/>
      <c r="T42" s="2343"/>
      <c r="U42" s="1254"/>
      <c r="V42" s="2319"/>
      <c r="W42" s="2320"/>
      <c r="X42" s="2428"/>
      <c r="Y42" s="2447"/>
      <c r="Z42" s="2448"/>
      <c r="AA42" s="2471"/>
      <c r="AB42" s="2456"/>
      <c r="AC42" s="2457"/>
      <c r="AD42" s="2457"/>
      <c r="AE42" s="2469"/>
      <c r="AF42" s="2457"/>
      <c r="AG42" s="2457"/>
      <c r="AH42" s="2457"/>
      <c r="AI42" s="2469"/>
      <c r="AJ42" s="2456"/>
      <c r="AK42" s="2457"/>
      <c r="AL42" s="2457"/>
      <c r="AM42" s="2457"/>
      <c r="AN42" s="2473"/>
      <c r="AO42" s="2473"/>
      <c r="AP42" s="2447"/>
      <c r="AQ42" s="2447"/>
      <c r="AR42" s="2448"/>
      <c r="AS42" s="2411"/>
      <c r="AT42" s="2414"/>
      <c r="AU42" s="2253"/>
    </row>
    <row customHeight="1" ht="14.25">
      <c r="A43" s="1597"/>
      <c r="B43" s="1597" t="s">
        <v>191</v>
      </c>
      <c r="C43" s="1597" t="s">
        <v>192</v>
      </c>
      <c r="D43" s="1597" t="s">
        <v>193</v>
      </c>
      <c r="E43" s="1591" t="s">
        <v>541</v>
      </c>
      <c r="F43" s="1591" t="s">
        <v>542</v>
      </c>
      <c r="G43" s="1591" t="s">
        <v>543</v>
      </c>
      <c r="H43" s="1591" t="s">
        <v>544</v>
      </c>
      <c r="I43" s="1591" t="s">
        <v>545</v>
      </c>
      <c r="J43" s="1591" t="s">
        <v>546</v>
      </c>
      <c r="K43" s="1591" t="s">
        <v>547</v>
      </c>
      <c r="L43" s="1591" t="s">
        <v>522</v>
      </c>
      <c r="Q43" s="513"/>
      <c r="R43" s="598"/>
      <c r="S43" s="2406"/>
      <c r="T43" s="2343"/>
      <c r="U43" s="524"/>
      <c r="V43" s="1557" t="s">
        <v>582</v>
      </c>
      <c r="W43" s="1557" t="s">
        <v>583</v>
      </c>
      <c r="X43" s="1565" t="s">
        <v>550</v>
      </c>
      <c r="Y43" s="2402" t="s">
        <v>551</v>
      </c>
      <c r="Z43" s="2403"/>
      <c r="AA43" s="2472"/>
      <c r="AB43" s="2458"/>
      <c r="AC43" s="2459"/>
      <c r="AD43" s="2459"/>
      <c r="AE43" s="2460"/>
      <c r="AF43" s="2459"/>
      <c r="AG43" s="2459"/>
      <c r="AH43" s="2459"/>
      <c r="AI43" s="2460"/>
      <c r="AJ43" s="2458"/>
      <c r="AK43" s="2459"/>
      <c r="AL43" s="2459"/>
      <c r="AM43" s="2460"/>
      <c r="AN43" s="2088" t="s">
        <v>582</v>
      </c>
      <c r="AO43" s="2088" t="s">
        <v>583</v>
      </c>
      <c r="AP43" s="1565" t="s">
        <v>550</v>
      </c>
      <c r="AQ43" s="2402" t="s">
        <v>551</v>
      </c>
      <c r="AR43" s="2403"/>
      <c r="AS43" s="2412"/>
      <c r="AT43" s="2415"/>
      <c r="AU43" s="2253"/>
    </row>
    <row s="16382" customFormat="1" customHeight="1" ht="11.25" hidden="1">
      <c r="A44" s="1597"/>
      <c r="B44" s="1597"/>
      <c r="C44" s="1597"/>
      <c r="D44" s="1597"/>
      <c r="E44" s="1597"/>
      <c r="F44" s="1597"/>
      <c r="G44" s="1597"/>
      <c r="H44" s="1597"/>
      <c r="I44" s="1597"/>
      <c r="J44" s="1597"/>
      <c r="K44" s="1597"/>
      <c r="L44" s="1591"/>
      <c r="M44" s="1589"/>
      <c r="N44" s="1589"/>
      <c r="O44" s="1589"/>
      <c r="P44" s="732"/>
      <c r="Q44" s="1480"/>
      <c r="R44" s="1480">
        <v>1</v>
      </c>
      <c r="S44" s="1504" t="s">
        <v>168</v>
      </c>
      <c r="T44" s="1481" t="s">
        <v>99</v>
      </c>
      <c r="U44" s="1471" t="str">
        <f>OFFSET(U44,0,-1)</f>
        <v>2</v>
      </c>
      <c r="V44" s="1562">
        <f>OFFSET(V44,0,-1)+1</f>
        <v>3</v>
      </c>
      <c r="W44" s="1562">
        <f>OFFSET(W44,0,-1)+1</f>
        <v>4</v>
      </c>
      <c r="X44" s="1562">
        <f>OFFSET(X44,0,-1)+1</f>
        <v>5</v>
      </c>
      <c r="Y44" s="2404">
        <f>OFFSET(Y44,0,-1)+1</f>
        <v>6</v>
      </c>
      <c r="Z44" s="2404"/>
      <c r="AA44" s="1562">
        <f>OFFSET(AA44,0,-2)+1</f>
        <v>7</v>
      </c>
      <c r="AB44" s="1568">
        <f>OFFSET(AB44,0,-1)+1</f>
        <v>8</v>
      </c>
      <c r="AC44" s="1568"/>
      <c r="AD44" s="1568"/>
      <c r="AE44" s="1568"/>
      <c r="AF44" s="1562"/>
      <c r="AG44" s="1562"/>
      <c r="AH44" s="1562"/>
      <c r="AI44" s="1562"/>
      <c r="AJ44" s="1562"/>
      <c r="AK44" s="1562"/>
      <c r="AL44" s="1562"/>
      <c r="AM44" s="1562"/>
      <c r="AN44" s="1562">
        <f>OFFSET(AN44,0,-1)+1</f>
        <v>1</v>
      </c>
      <c r="AO44" s="1562">
        <f>OFFSET(AO44,0,-1)+1</f>
        <v>2</v>
      </c>
      <c r="AP44" s="1562">
        <f>OFFSET(AP44,0,-1)+1</f>
        <v>3</v>
      </c>
      <c r="AQ44" s="2404">
        <f>OFFSET(AQ44,0,-1)+1</f>
        <v>4</v>
      </c>
      <c r="AR44" s="2404"/>
      <c r="AS44" s="1562">
        <f>OFFSET(AS44,0,-2)+1</f>
        <v>5</v>
      </c>
      <c r="AT44" s="1471">
        <f>OFFSET(AT44,0,-1)</f>
        <v>5</v>
      </c>
      <c r="AU44" s="1562">
        <f>OFFSET(AU44,0,-1)+1</f>
        <v>6</v>
      </c>
      <c r="AV44" s="733"/>
      <c r="AW44" s="733"/>
      <c r="AX44" s="733"/>
      <c r="AY44" s="733"/>
      <c r="AZ44" s="733"/>
    </row>
    <row customHeight="1" ht="102">
      <c r="A45" s="1590" t="s">
        <v>248</v>
      </c>
      <c r="B45" s="1590"/>
      <c r="C45" s="1590"/>
      <c r="D45" s="1590"/>
      <c r="E45" s="2388">
        <v>1</v>
      </c>
      <c r="F45" s="1590"/>
      <c r="G45" s="1590"/>
      <c r="H45" s="1590"/>
      <c r="I45" s="1590"/>
      <c r="J45" s="1590"/>
      <c r="K45" s="1590"/>
      <c r="L45" s="1591"/>
      <c r="M45" s="1592"/>
      <c r="N45" s="1592"/>
      <c r="O45" s="1592"/>
      <c r="P45" s="1636"/>
      <c r="Q45" s="1095"/>
      <c r="R45" s="577"/>
      <c r="S45" s="1563">
        <f>INDEX(PT_DIFFERENTIATION_NUM_NTAR,MATCH(A45,PT_DIFFERENTIATION_NTAR_ID,0))</f>
        <v>0</v>
      </c>
      <c r="T45" s="520" t="s">
        <v>179</v>
      </c>
      <c r="U45" s="522"/>
      <c r="V45" s="2383"/>
      <c r="W45" s="2383"/>
      <c r="X45" s="2383"/>
      <c r="Y45" s="2383"/>
      <c r="Z45" s="2383"/>
      <c r="AA45" s="2384"/>
      <c r="AB45" s="2382" t="str">
        <f>INDEX(PT_DIFFERENTIATION_NTAR,MATCH(A45,PT_DIFFERENTIATION_NTAR_ID,0))</f>
        <v/>
      </c>
      <c r="AC45" s="2383"/>
      <c r="AD45" s="2383"/>
      <c r="AE45" s="2383"/>
      <c r="AF45" s="2383"/>
      <c r="AG45" s="2383"/>
      <c r="AH45" s="2383"/>
      <c r="AI45" s="2383"/>
      <c r="AJ45" s="2383"/>
      <c r="AK45" s="2383"/>
      <c r="AL45" s="2383"/>
      <c r="AM45" s="2383"/>
      <c r="AN45" s="2383"/>
      <c r="AO45" s="2383"/>
      <c r="AP45" s="2383"/>
      <c r="AQ45" s="2383"/>
      <c r="AR45" s="2383"/>
      <c r="AS45" s="2383"/>
      <c r="AT45" s="2384"/>
      <c r="AU45" s="14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22"/>
      <c r="AX45" s="722" t="str">
        <f>IF(T45="","",T45)</f>
        <v>Наименование тарифа</v>
      </c>
      <c r="AY45" s="722"/>
      <c r="AZ45" s="722"/>
    </row>
    <row customHeight="1" ht="21">
      <c r="A46" s="1590" t="s">
        <v>248</v>
      </c>
      <c r="B46" s="1590" t="s">
        <v>249</v>
      </c>
      <c r="C46" s="1590"/>
      <c r="D46" s="1590"/>
      <c r="E46" s="2389"/>
      <c r="F46" s="2388">
        <v>1</v>
      </c>
      <c r="G46" s="1590"/>
      <c r="H46" s="1590"/>
      <c r="I46" s="1590"/>
      <c r="J46" s="1590"/>
      <c r="K46" s="1590"/>
      <c r="L46" s="1591"/>
      <c r="M46" s="1592"/>
      <c r="N46" s="1592"/>
      <c r="O46" s="1592"/>
      <c r="P46" s="1637"/>
      <c r="Q46" s="1638"/>
      <c r="R46" s="575"/>
      <c r="S46" s="1563" t="str">
        <f>INDEX(PT_DIFFERENTIATION_NUM_TER,MATCH(B46,PT_DIFFERENTIATION_TER_ID,0))</f>
        <v>.</v>
      </c>
      <c r="T46" s="530" t="s">
        <v>503</v>
      </c>
      <c r="U46" s="522"/>
      <c r="V46" s="2383"/>
      <c r="W46" s="2383"/>
      <c r="X46" s="2383"/>
      <c r="Y46" s="2383"/>
      <c r="Z46" s="2383"/>
      <c r="AA46" s="2384"/>
      <c r="AB46" s="2382" t="str">
        <f>INDEX(PT_DIFFERENTIATION_TER,MATCH(B46,PT_DIFFERENTIATION_TER_ID,0))</f>
        <v/>
      </c>
      <c r="AC46" s="2383"/>
      <c r="AD46" s="2383"/>
      <c r="AE46" s="2383"/>
      <c r="AF46" s="2383"/>
      <c r="AG46" s="2383"/>
      <c r="AH46" s="2383"/>
      <c r="AI46" s="2383"/>
      <c r="AJ46" s="2383"/>
      <c r="AK46" s="2383"/>
      <c r="AL46" s="2383"/>
      <c r="AM46" s="2383"/>
      <c r="AN46" s="2383"/>
      <c r="AO46" s="2383"/>
      <c r="AP46" s="2383"/>
      <c r="AQ46" s="2383"/>
      <c r="AR46" s="2383"/>
      <c r="AS46" s="2383"/>
      <c r="AT46" s="2384"/>
      <c r="AU46" s="1484" t="s">
        <v>504</v>
      </c>
      <c r="AW46" s="722"/>
      <c r="AX46" s="722" t="str">
        <f>IF(T46="","",T46)</f>
        <v>Территория действия тарифа</v>
      </c>
      <c r="AY46" s="722"/>
      <c r="AZ46" s="722"/>
    </row>
    <row customHeight="1" ht="23.25">
      <c r="A47" s="1590" t="s">
        <v>248</v>
      </c>
      <c r="B47" s="1590" t="s">
        <v>249</v>
      </c>
      <c r="C47" s="1590" t="s">
        <v>250</v>
      </c>
      <c r="D47" s="1590"/>
      <c r="E47" s="2389"/>
      <c r="F47" s="2389"/>
      <c r="G47" s="2388">
        <v>1</v>
      </c>
      <c r="H47" s="1590"/>
      <c r="I47" s="1590"/>
      <c r="J47" s="1590"/>
      <c r="K47" s="1590"/>
      <c r="L47" s="1591"/>
      <c r="M47" s="1592"/>
      <c r="N47" s="1592"/>
      <c r="O47" s="1592"/>
      <c r="P47" s="1639"/>
      <c r="Q47" s="1638"/>
      <c r="R47" s="575"/>
      <c r="S47" s="1563" t="str">
        <f>INDEX(PT_DIFFERENTIATION_NUM_CS,MATCH(C47,PT_DIFFERENTIATION_CS_ID,0))</f>
        <v>..</v>
      </c>
      <c r="T47" s="531" t="s">
        <v>505</v>
      </c>
      <c r="U47" s="522"/>
      <c r="V47" s="2383"/>
      <c r="W47" s="2383"/>
      <c r="X47" s="2383"/>
      <c r="Y47" s="2383"/>
      <c r="Z47" s="2383"/>
      <c r="AA47" s="2384"/>
      <c r="AB47" s="2382" t="str">
        <f>INDEX(PT_DIFFERENTIATION_CS,MATCH(C47,PT_DIFFERENTIATION_CS_ID,0))</f>
        <v/>
      </c>
      <c r="AC47" s="2383"/>
      <c r="AD47" s="2383"/>
      <c r="AE47" s="2383"/>
      <c r="AF47" s="2383"/>
      <c r="AG47" s="2383"/>
      <c r="AH47" s="2383"/>
      <c r="AI47" s="2383"/>
      <c r="AJ47" s="2383"/>
      <c r="AK47" s="2383"/>
      <c r="AL47" s="2383"/>
      <c r="AM47" s="2383"/>
      <c r="AN47" s="2383"/>
      <c r="AO47" s="2383"/>
      <c r="AP47" s="2383"/>
      <c r="AQ47" s="2383"/>
      <c r="AR47" s="2383"/>
      <c r="AS47" s="2383"/>
      <c r="AT47" s="2384"/>
      <c r="AU47" s="1484" t="s">
        <v>506</v>
      </c>
      <c r="AW47" s="722"/>
      <c r="AX47" s="722" t="str">
        <f>IF(T47="","",T47)</f>
        <v>Наименование системы теплоснабжения </v>
      </c>
      <c r="AY47" s="722"/>
      <c r="AZ47" s="722"/>
    </row>
    <row customHeight="1" ht="21">
      <c r="A48" s="1590" t="s">
        <v>248</v>
      </c>
      <c r="B48" s="1590" t="s">
        <v>249</v>
      </c>
      <c r="C48" s="1590" t="s">
        <v>250</v>
      </c>
      <c r="D48" s="1590" t="s">
        <v>251</v>
      </c>
      <c r="E48" s="2389"/>
      <c r="F48" s="2389"/>
      <c r="G48" s="2389"/>
      <c r="H48" s="2388">
        <v>1</v>
      </c>
      <c r="I48" s="1590"/>
      <c r="J48" s="1590"/>
      <c r="K48" s="1590"/>
      <c r="L48" s="1591"/>
      <c r="M48" s="1592"/>
      <c r="N48" s="1592"/>
      <c r="O48" s="1592"/>
      <c r="P48" s="1639"/>
      <c r="Q48" s="1638"/>
      <c r="R48" s="575"/>
      <c r="S48" s="1563" t="str">
        <f>INDEX(PT_DIFFERENTIATION_NUM_IST_TE,MATCH(D48,PT_DIFFERENTIATION_IST_TE_ID,0))</f>
        <v>...</v>
      </c>
      <c r="T48" s="532" t="s">
        <v>507</v>
      </c>
      <c r="U48" s="522"/>
      <c r="V48" s="2383"/>
      <c r="W48" s="2383"/>
      <c r="X48" s="2383"/>
      <c r="Y48" s="2383"/>
      <c r="Z48" s="2383"/>
      <c r="AA48" s="2384"/>
      <c r="AB48" s="2382" t="str">
        <f>INDEX(PT_DIFFERENTIATION_IST_TE,MATCH(D48,PT_DIFFERENTIATION_IST_TE_ID,0))</f>
        <v/>
      </c>
      <c r="AC48" s="2383"/>
      <c r="AD48" s="2383"/>
      <c r="AE48" s="2383"/>
      <c r="AF48" s="2383"/>
      <c r="AG48" s="2383"/>
      <c r="AH48" s="2383"/>
      <c r="AI48" s="2383"/>
      <c r="AJ48" s="2383"/>
      <c r="AK48" s="2383"/>
      <c r="AL48" s="2383"/>
      <c r="AM48" s="2383"/>
      <c r="AN48" s="2383"/>
      <c r="AO48" s="2383"/>
      <c r="AP48" s="2383"/>
      <c r="AQ48" s="2383"/>
      <c r="AR48" s="2383"/>
      <c r="AS48" s="2383"/>
      <c r="AT48" s="2384"/>
      <c r="AU48" s="1484" t="s">
        <v>508</v>
      </c>
      <c r="AW48" s="722"/>
      <c r="AX48" s="722" t="str">
        <f>IF(T48="","",T48)</f>
        <v>Источник тепловой энергии  </v>
      </c>
      <c r="AY48" s="722"/>
      <c r="AZ48" s="722"/>
    </row>
    <row s="16622" customFormat="1" customHeight="1" ht="0">
      <c r="A49" s="1570" t="s">
        <v>248</v>
      </c>
      <c r="B49" s="1570" t="s">
        <v>249</v>
      </c>
      <c r="C49" s="1570" t="s">
        <v>250</v>
      </c>
      <c r="D49" s="1570" t="s">
        <v>251</v>
      </c>
      <c r="E49" s="2389"/>
      <c r="F49" s="2389"/>
      <c r="G49" s="2389"/>
      <c r="H49" s="2389"/>
      <c r="I49" s="2390" t="str">
        <f>S48&amp;".1"</f>
        <v>....1</v>
      </c>
      <c r="J49" s="1570"/>
      <c r="K49" s="1570"/>
      <c r="L49" s="1573" t="s">
        <v>509</v>
      </c>
      <c r="M49" s="732"/>
      <c r="N49" s="732"/>
      <c r="O49" s="732"/>
      <c r="P49" s="2392">
        <v>1</v>
      </c>
      <c r="Q49" s="1558"/>
      <c r="R49" s="578"/>
      <c r="S49" s="1265"/>
      <c r="T49" s="1610"/>
      <c r="U49" s="1611"/>
      <c r="V49" s="2431"/>
      <c r="W49" s="2431"/>
      <c r="X49" s="2431"/>
      <c r="Y49" s="2431"/>
      <c r="Z49" s="2431"/>
      <c r="AA49" s="2432"/>
      <c r="AB49" s="2430"/>
      <c r="AC49" s="2431"/>
      <c r="AD49" s="2431"/>
      <c r="AE49" s="2431"/>
      <c r="AF49" s="2431"/>
      <c r="AG49" s="2431"/>
      <c r="AH49" s="2431"/>
      <c r="AI49" s="2431"/>
      <c r="AJ49" s="2431"/>
      <c r="AK49" s="2431"/>
      <c r="AL49" s="2431"/>
      <c r="AM49" s="2431"/>
      <c r="AN49" s="2431"/>
      <c r="AO49" s="2431"/>
      <c r="AP49" s="2431"/>
      <c r="AQ49" s="2431"/>
      <c r="AR49" s="2431"/>
      <c r="AS49" s="2431"/>
      <c r="AT49" s="2432"/>
      <c r="AU49" s="1612"/>
      <c r="AW49" s="722"/>
      <c r="AX49" s="722" t="str">
        <f>IF(T49="","",T49)</f>
        <v/>
      </c>
      <c r="AY49" s="722"/>
      <c r="AZ49" s="722"/>
    </row>
    <row s="16622" customFormat="1" customHeight="1" ht="0">
      <c r="A50" s="1570" t="s">
        <v>248</v>
      </c>
      <c r="B50" s="1570" t="s">
        <v>249</v>
      </c>
      <c r="C50" s="1570" t="s">
        <v>250</v>
      </c>
      <c r="D50" s="1570" t="s">
        <v>251</v>
      </c>
      <c r="E50" s="2389"/>
      <c r="F50" s="2389"/>
      <c r="G50" s="2389"/>
      <c r="H50" s="2389"/>
      <c r="I50" s="2391"/>
      <c r="J50" s="2390" t="str">
        <f>S48&amp;".1"</f>
        <v>....1</v>
      </c>
      <c r="K50" s="1570"/>
      <c r="L50" s="1573"/>
      <c r="M50" s="732"/>
      <c r="N50" s="732"/>
      <c r="O50" s="732"/>
      <c r="P50" s="2392"/>
      <c r="Q50" s="2392">
        <v>1</v>
      </c>
      <c r="R50" s="579"/>
      <c r="S50" s="1265"/>
      <c r="T50" s="1626"/>
      <c r="U50" s="1611"/>
      <c r="V50" s="2431"/>
      <c r="W50" s="2431"/>
      <c r="X50" s="2431"/>
      <c r="Y50" s="2431"/>
      <c r="Z50" s="2431"/>
      <c r="AA50" s="2432"/>
      <c r="AB50" s="2430"/>
      <c r="AC50" s="2431"/>
      <c r="AD50" s="2431"/>
      <c r="AE50" s="2431"/>
      <c r="AF50" s="2431"/>
      <c r="AG50" s="2431"/>
      <c r="AH50" s="2431"/>
      <c r="AI50" s="2431"/>
      <c r="AJ50" s="2431"/>
      <c r="AK50" s="2431"/>
      <c r="AL50" s="2431"/>
      <c r="AM50" s="2431"/>
      <c r="AN50" s="2431"/>
      <c r="AO50" s="2431"/>
      <c r="AP50" s="2431"/>
      <c r="AQ50" s="2431"/>
      <c r="AR50" s="2431"/>
      <c r="AS50" s="2431"/>
      <c r="AT50" s="2432"/>
      <c r="AU50" s="1612"/>
      <c r="AW50" s="722"/>
      <c r="AX50" s="722" t="str">
        <f>IF(T50="","",T50)</f>
        <v/>
      </c>
      <c r="AY50" s="722"/>
      <c r="AZ50" s="722"/>
    </row>
    <row customHeight="1" ht="21">
      <c r="A51" s="1590" t="s">
        <v>248</v>
      </c>
      <c r="B51" s="1590" t="s">
        <v>249</v>
      </c>
      <c r="C51" s="1590" t="s">
        <v>250</v>
      </c>
      <c r="D51" s="1590" t="s">
        <v>251</v>
      </c>
      <c r="E51" s="2389"/>
      <c r="F51" s="2389"/>
      <c r="G51" s="2389"/>
      <c r="H51" s="2389"/>
      <c r="I51" s="2391"/>
      <c r="J51" s="2391"/>
      <c r="K51" s="2390" t="str">
        <f>S48&amp;".1"</f>
        <v>....1</v>
      </c>
      <c r="L51" s="1591"/>
      <c r="P51" s="2392"/>
      <c r="Q51" s="2392"/>
      <c r="R51" s="579">
        <v>1</v>
      </c>
      <c r="S51" s="2465" t="str">
        <f>$K51</f>
        <v>....1</v>
      </c>
      <c r="T51" s="2462"/>
      <c r="U51" s="522"/>
      <c r="V51" s="973"/>
      <c r="W51" s="1483"/>
      <c r="X51" s="1961"/>
      <c r="Y51" s="1686" t="s">
        <v>63</v>
      </c>
      <c r="Z51" s="1961"/>
      <c r="AA51" s="1686" t="s">
        <v>63</v>
      </c>
      <c r="AB51" s="2263" t="s">
        <v>53</v>
      </c>
      <c r="AC51" s="2461"/>
      <c r="AD51" s="2339">
        <v>1</v>
      </c>
      <c r="AE51" s="2453" t="s">
        <v>24</v>
      </c>
      <c r="AF51" s="2263" t="s">
        <v>53</v>
      </c>
      <c r="AG51" s="2461"/>
      <c r="AH51" s="2339">
        <v>1</v>
      </c>
      <c r="AI51" s="2453" t="s">
        <v>24</v>
      </c>
      <c r="AJ51" s="2263" t="s">
        <v>53</v>
      </c>
      <c r="AK51" s="533"/>
      <c r="AL51" s="1564">
        <v>1</v>
      </c>
      <c r="AM51" s="1629"/>
      <c r="AN51" s="973"/>
      <c r="AO51" s="1483"/>
      <c r="AP51" s="1961"/>
      <c r="AQ51" s="1686" t="s">
        <v>63</v>
      </c>
      <c r="AR51" s="1961"/>
      <c r="AS51" s="1686" t="s">
        <v>63</v>
      </c>
      <c r="AT51" s="1575"/>
      <c r="AU51" s="2418" t="s">
        <v>584</v>
      </c>
      <c r="AV51" s="733">
        <f>STRCHECKDATE(V54:AT54)</f>
      </c>
      <c r="AW51" s="722"/>
      <c r="AX51" s="722" t="str">
        <f>IF(T51="","",T51)</f>
        <v/>
      </c>
      <c r="AY51" s="722"/>
      <c r="AZ51" s="722"/>
    </row>
    <row customHeight="1" ht="11.25">
      <c r="A52" s="1590" t="s">
        <v>248</v>
      </c>
      <c r="B52" s="1590"/>
      <c r="C52" s="1590"/>
      <c r="D52" s="1590"/>
      <c r="E52" s="2389"/>
      <c r="F52" s="2389"/>
      <c r="G52" s="2389"/>
      <c r="H52" s="2389"/>
      <c r="I52" s="2391"/>
      <c r="J52" s="2391"/>
      <c r="K52" s="2390"/>
      <c r="L52" s="1591"/>
      <c r="P52" s="2392"/>
      <c r="Q52" s="2392"/>
      <c r="R52" s="579"/>
      <c r="S52" s="2466"/>
      <c r="T52" s="2463"/>
      <c r="U52" s="522"/>
      <c r="V52" s="1620"/>
      <c r="W52" s="1723"/>
      <c r="X52" s="1620"/>
      <c r="Y52" s="1620"/>
      <c r="Z52" s="1620"/>
      <c r="AA52" s="1620"/>
      <c r="AB52" s="2263"/>
      <c r="AC52" s="2461"/>
      <c r="AD52" s="2339"/>
      <c r="AE52" s="2453"/>
      <c r="AF52" s="2263"/>
      <c r="AG52" s="2461"/>
      <c r="AH52" s="2339"/>
      <c r="AI52" s="2453"/>
      <c r="AJ52" s="2263"/>
      <c r="AK52" s="538"/>
      <c r="AL52" s="638"/>
      <c r="AM52" s="637" t="s">
        <v>568</v>
      </c>
      <c r="AN52" s="1620"/>
      <c r="AO52" s="1723"/>
      <c r="AP52" s="1620"/>
      <c r="AQ52" s="1620"/>
      <c r="AR52" s="1620"/>
      <c r="AS52" s="1620"/>
      <c r="AT52" s="1617"/>
      <c r="AU52" s="2419"/>
      <c r="AW52" s="722"/>
      <c r="AX52" s="722"/>
      <c r="AY52" s="722"/>
      <c r="AZ52" s="722"/>
    </row>
    <row customHeight="1" ht="11.25">
      <c r="A53" s="1590" t="s">
        <v>248</v>
      </c>
      <c r="B53" s="1590"/>
      <c r="C53" s="1590"/>
      <c r="D53" s="1590"/>
      <c r="E53" s="2389"/>
      <c r="F53" s="2389"/>
      <c r="G53" s="2389"/>
      <c r="H53" s="2389"/>
      <c r="I53" s="2391"/>
      <c r="J53" s="2391"/>
      <c r="K53" s="2390"/>
      <c r="L53" s="1591"/>
      <c r="P53" s="2392"/>
      <c r="Q53" s="2392"/>
      <c r="R53" s="579"/>
      <c r="S53" s="2466"/>
      <c r="T53" s="2463"/>
      <c r="U53" s="522"/>
      <c r="V53" s="1620"/>
      <c r="W53" s="1723"/>
      <c r="X53" s="1620"/>
      <c r="Y53" s="1620"/>
      <c r="Z53" s="1620"/>
      <c r="AA53" s="1620"/>
      <c r="AB53" s="2263"/>
      <c r="AC53" s="2461"/>
      <c r="AD53" s="2339"/>
      <c r="AE53" s="2453"/>
      <c r="AF53" s="2263"/>
      <c r="AG53" s="516"/>
      <c r="AH53" s="637"/>
      <c r="AI53" s="637" t="s">
        <v>569</v>
      </c>
      <c r="AJ53" s="1620"/>
      <c r="AK53" s="1620"/>
      <c r="AL53" s="1620"/>
      <c r="AM53" s="1620"/>
      <c r="AN53" s="1620"/>
      <c r="AO53" s="1723"/>
      <c r="AP53" s="1620"/>
      <c r="AQ53" s="1620"/>
      <c r="AR53" s="1620"/>
      <c r="AS53" s="1620"/>
      <c r="AT53" s="1617"/>
      <c r="AU53" s="2419"/>
      <c r="AW53" s="722"/>
      <c r="AX53" s="722"/>
      <c r="AY53" s="722"/>
      <c r="AZ53" s="722"/>
    </row>
    <row customHeight="1" ht="11.25">
      <c r="A54" s="1590" t="s">
        <v>248</v>
      </c>
      <c r="B54" s="1590" t="s">
        <v>249</v>
      </c>
      <c r="C54" s="1590" t="s">
        <v>250</v>
      </c>
      <c r="D54" s="1590" t="s">
        <v>251</v>
      </c>
      <c r="E54" s="2389"/>
      <c r="F54" s="2389"/>
      <c r="G54" s="2389"/>
      <c r="H54" s="2389"/>
      <c r="I54" s="2391"/>
      <c r="J54" s="2391"/>
      <c r="K54" s="2390"/>
      <c r="L54" s="1591"/>
      <c r="P54" s="2392"/>
      <c r="Q54" s="2392"/>
      <c r="R54" s="579"/>
      <c r="S54" s="2467"/>
      <c r="T54" s="2464"/>
      <c r="U54" s="522"/>
      <c r="V54" s="1620"/>
      <c r="W54" s="1621" t="str">
        <f>X51&amp;"-"&amp;Z51</f>
        <v>-</v>
      </c>
      <c r="X54" s="1620"/>
      <c r="Y54" s="1620"/>
      <c r="Z54" s="1620"/>
      <c r="AA54" s="1620"/>
      <c r="AB54" s="2263"/>
      <c r="AC54" s="534"/>
      <c r="AD54" s="536"/>
      <c r="AE54" s="637" t="s">
        <v>570</v>
      </c>
      <c r="AF54" s="1620"/>
      <c r="AG54" s="1620"/>
      <c r="AH54" s="1620"/>
      <c r="AI54" s="1620"/>
      <c r="AJ54" s="1620"/>
      <c r="AK54" s="1620"/>
      <c r="AL54" s="1620"/>
      <c r="AM54" s="1620"/>
      <c r="AN54" s="1620"/>
      <c r="AO54" s="1621" t="str">
        <f>AP51&amp;"-"&amp;AR51</f>
        <v>-</v>
      </c>
      <c r="AP54" s="1620"/>
      <c r="AQ54" s="1620"/>
      <c r="AR54" s="1620"/>
      <c r="AS54" s="1620"/>
      <c r="AT54" s="1576"/>
      <c r="AU54" s="2419"/>
      <c r="AW54" s="722"/>
      <c r="AX54" s="722" t="str">
        <f>IF(T54="","",T54)</f>
        <v/>
      </c>
      <c r="AY54" s="722"/>
      <c r="AZ54" s="722"/>
    </row>
    <row customHeight="1" ht="11.25">
      <c r="A55" s="1590" t="s">
        <v>248</v>
      </c>
      <c r="B55" s="1590" t="s">
        <v>249</v>
      </c>
      <c r="C55" s="1590" t="s">
        <v>250</v>
      </c>
      <c r="D55" s="1590" t="s">
        <v>251</v>
      </c>
      <c r="E55" s="2389"/>
      <c r="F55" s="2389"/>
      <c r="G55" s="2389"/>
      <c r="H55" s="2389"/>
      <c r="I55" s="2391"/>
      <c r="J55" s="2390"/>
      <c r="K55" s="1590"/>
      <c r="L55" s="1591"/>
      <c r="P55" s="2392"/>
      <c r="Q55" s="2392"/>
      <c r="R55" s="578"/>
      <c r="S55" s="1505"/>
      <c r="T55" s="509" t="s">
        <v>571</v>
      </c>
      <c r="U55" s="589"/>
      <c r="V55" s="589"/>
      <c r="W55" s="589"/>
      <c r="X55" s="589"/>
      <c r="Y55" s="589"/>
      <c r="Z55" s="589"/>
      <c r="AA55" s="546"/>
      <c r="AB55" s="1732"/>
      <c r="AC55" s="589"/>
      <c r="AD55" s="589"/>
      <c r="AE55" s="589"/>
      <c r="AF55" s="589"/>
      <c r="AG55" s="589"/>
      <c r="AH55" s="589"/>
      <c r="AI55" s="589"/>
      <c r="AJ55" s="589"/>
      <c r="AK55" s="589"/>
      <c r="AL55" s="589"/>
      <c r="AM55" s="589"/>
      <c r="AN55" s="589"/>
      <c r="AO55" s="589"/>
      <c r="AP55" s="589"/>
      <c r="AQ55" s="589"/>
      <c r="AR55" s="589"/>
      <c r="AS55" s="589"/>
      <c r="AT55" s="546"/>
      <c r="AU55" s="2420"/>
      <c r="AW55" s="722"/>
      <c r="AX55" s="722" t="str">
        <f>IF(T55="","",T55)</f>
        <v>Добавить строку</v>
      </c>
      <c r="AY55" s="722"/>
      <c r="AZ55" s="722"/>
    </row>
    <row s="16622" customFormat="1" customHeight="1" ht="5.25">
      <c r="A56" s="1570" t="s">
        <v>248</v>
      </c>
      <c r="B56" s="1570" t="s">
        <v>249</v>
      </c>
      <c r="C56" s="1570" t="s">
        <v>250</v>
      </c>
      <c r="D56" s="1570" t="s">
        <v>251</v>
      </c>
      <c r="E56" s="2389"/>
      <c r="F56" s="2389"/>
      <c r="G56" s="2389"/>
      <c r="H56" s="2389"/>
      <c r="I56" s="2390"/>
      <c r="J56" s="1570"/>
      <c r="K56" s="1570"/>
      <c r="L56" s="1573"/>
      <c r="M56" s="732"/>
      <c r="N56" s="732"/>
      <c r="O56" s="732"/>
      <c r="P56" s="2392"/>
      <c r="Q56" s="1558"/>
      <c r="R56" s="578"/>
      <c r="S56" s="1613"/>
      <c r="T56" s="1614" t="s">
        <v>518</v>
      </c>
      <c r="U56" s="1615"/>
      <c r="V56" s="1615"/>
      <c r="W56" s="1615"/>
      <c r="X56" s="1615"/>
      <c r="Y56" s="1615"/>
      <c r="Z56" s="1615"/>
      <c r="AA56" s="1615"/>
      <c r="AB56" s="1615"/>
      <c r="AC56" s="1615"/>
      <c r="AD56" s="1615"/>
      <c r="AE56" s="1615"/>
      <c r="AF56" s="1615"/>
      <c r="AG56" s="1615"/>
      <c r="AH56" s="1615"/>
      <c r="AI56" s="1615"/>
      <c r="AJ56" s="1615"/>
      <c r="AK56" s="1615"/>
      <c r="AL56" s="1615"/>
      <c r="AM56" s="1615"/>
      <c r="AN56" s="1615"/>
      <c r="AO56" s="1615"/>
      <c r="AP56" s="1615"/>
      <c r="AQ56" s="1615"/>
      <c r="AR56" s="1615"/>
      <c r="AS56" s="1615"/>
      <c r="AT56" s="1615"/>
      <c r="AU56" s="1616"/>
      <c r="AW56" s="722"/>
      <c r="AX56" s="722" t="str">
        <f>IF(T56="","",T56)</f>
        <v>Добавить группу потребителей</v>
      </c>
      <c r="AY56" s="722"/>
      <c r="AZ56" s="722"/>
    </row>
    <row s="16382" customFormat="1" customHeight="1" ht="5.25">
      <c r="A57" s="1570" t="s">
        <v>248</v>
      </c>
      <c r="B57" s="1570" t="s">
        <v>249</v>
      </c>
      <c r="C57" s="1570" t="s">
        <v>250</v>
      </c>
      <c r="D57" s="1570" t="s">
        <v>251</v>
      </c>
      <c r="E57" s="2389"/>
      <c r="F57" s="2389"/>
      <c r="G57" s="2389"/>
      <c r="H57" s="2388"/>
      <c r="I57" s="1570"/>
      <c r="J57" s="1570"/>
      <c r="K57" s="1570"/>
      <c r="L57" s="1573"/>
      <c r="M57" s="1542"/>
      <c r="N57" s="1542"/>
      <c r="O57" s="740"/>
      <c r="P57" s="602"/>
      <c r="Q57" s="1571"/>
      <c r="R57" s="1627"/>
      <c r="S57" s="1613"/>
      <c r="T57" s="1614"/>
      <c r="U57" s="1615"/>
      <c r="V57" s="1615"/>
      <c r="W57" s="1615"/>
      <c r="X57" s="1615"/>
      <c r="Y57" s="1615"/>
      <c r="Z57" s="1615"/>
      <c r="AA57" s="1615"/>
      <c r="AB57" s="1615"/>
      <c r="AC57" s="1615"/>
      <c r="AD57" s="1615"/>
      <c r="AE57" s="1615"/>
      <c r="AF57" s="1615"/>
      <c r="AG57" s="1615"/>
      <c r="AH57" s="1615"/>
      <c r="AI57" s="1615"/>
      <c r="AJ57" s="1615"/>
      <c r="AK57" s="1615"/>
      <c r="AL57" s="1615"/>
      <c r="AM57" s="1615"/>
      <c r="AN57" s="1615"/>
      <c r="AO57" s="1615"/>
      <c r="AP57" s="1615"/>
      <c r="AQ57" s="1615"/>
      <c r="AR57" s="1615"/>
      <c r="AS57" s="1615"/>
      <c r="AT57" s="1615"/>
      <c r="AU57" s="1616"/>
      <c r="AV57" s="733"/>
      <c r="AW57" s="722"/>
      <c r="AX57" s="722" t="str">
        <f>IF(T57="","",T57)</f>
        <v/>
      </c>
      <c r="AY57" s="722"/>
      <c r="AZ57" s="722"/>
    </row>
    <row s="16531" customFormat="1" customHeight="1" ht="5.25">
      <c r="A58" s="1570" t="s">
        <v>248</v>
      </c>
      <c r="B58" s="1570" t="s">
        <v>249</v>
      </c>
      <c r="C58" s="1570" t="s">
        <v>250</v>
      </c>
      <c r="D58" s="1541"/>
      <c r="E58" s="2389"/>
      <c r="F58" s="2389"/>
      <c r="G58" s="2388"/>
      <c r="H58" s="1541"/>
      <c r="I58" s="1541"/>
      <c r="J58" s="1541"/>
      <c r="K58" s="1541"/>
      <c r="L58" s="1566"/>
      <c r="M58" s="1542"/>
      <c r="N58" s="1542"/>
      <c r="P58" s="1543"/>
      <c r="Q58" s="1544"/>
      <c r="R58" s="1543"/>
      <c r="S58" s="1549"/>
      <c r="T58" s="1552" t="s">
        <v>520</v>
      </c>
      <c r="U58" s="1551"/>
      <c r="V58" s="1551"/>
      <c r="W58" s="1551"/>
      <c r="X58" s="1551"/>
      <c r="Y58" s="1551"/>
      <c r="Z58" s="1551"/>
      <c r="AA58" s="1551"/>
      <c r="AB58" s="1551"/>
      <c r="AC58" s="1551"/>
      <c r="AD58" s="1551"/>
      <c r="AE58" s="1551"/>
      <c r="AF58" s="1551"/>
      <c r="AG58" s="1551"/>
      <c r="AH58" s="1551"/>
      <c r="AI58" s="1551"/>
      <c r="AJ58" s="1551"/>
      <c r="AK58" s="1551"/>
      <c r="AL58" s="1551"/>
      <c r="AM58" s="1551"/>
      <c r="AN58" s="1551"/>
      <c r="AO58" s="1551"/>
      <c r="AP58" s="1551"/>
      <c r="AQ58" s="1551"/>
      <c r="AR58" s="1551"/>
      <c r="AS58" s="1551"/>
      <c r="AT58" s="1551"/>
      <c r="AU58" s="1551"/>
      <c r="AW58" s="1011"/>
      <c r="AX58" s="1011" t="str">
        <f>IF(T58="","",T58)</f>
        <v>Добавить источник для дифференциации</v>
      </c>
      <c r="AY58" s="1011"/>
      <c r="AZ58" s="1011"/>
    </row>
    <row s="16531" customFormat="1" customHeight="1" ht="5.25">
      <c r="A59" s="1570" t="s">
        <v>248</v>
      </c>
      <c r="B59" s="1570" t="s">
        <v>249</v>
      </c>
      <c r="C59" s="1541"/>
      <c r="D59" s="1541"/>
      <c r="E59" s="2389"/>
      <c r="F59" s="2388"/>
      <c r="G59" s="1541"/>
      <c r="H59" s="1541"/>
      <c r="I59" s="1541"/>
      <c r="J59" s="1541"/>
      <c r="K59" s="1541"/>
      <c r="L59" s="1566"/>
      <c r="M59" s="1548"/>
      <c r="N59" s="1548"/>
      <c r="P59" s="1543"/>
      <c r="Q59" s="1544"/>
      <c r="R59" s="1543"/>
      <c r="S59" s="1549"/>
      <c r="T59" s="1552" t="s">
        <v>305</v>
      </c>
      <c r="U59" s="1551"/>
      <c r="V59" s="1551"/>
      <c r="W59" s="1551"/>
      <c r="X59" s="1551"/>
      <c r="Y59" s="1551"/>
      <c r="Z59" s="1551"/>
      <c r="AA59" s="1551"/>
      <c r="AB59" s="1551"/>
      <c r="AC59" s="1551"/>
      <c r="AD59" s="1551"/>
      <c r="AE59" s="1551"/>
      <c r="AF59" s="1551"/>
      <c r="AG59" s="1551"/>
      <c r="AH59" s="1551"/>
      <c r="AI59" s="1551"/>
      <c r="AJ59" s="1551"/>
      <c r="AK59" s="1551"/>
      <c r="AL59" s="1551"/>
      <c r="AM59" s="1551"/>
      <c r="AN59" s="1551"/>
      <c r="AO59" s="1551"/>
      <c r="AP59" s="1551"/>
      <c r="AQ59" s="1551"/>
      <c r="AR59" s="1551"/>
      <c r="AS59" s="1551"/>
      <c r="AT59" s="1551"/>
      <c r="AU59" s="1551"/>
      <c r="AW59" s="1011"/>
      <c r="AX59" s="1011" t="str">
        <f>IF(T59="","",T59)</f>
        <v>Добавить централизованную систему для дифференциации</v>
      </c>
      <c r="AY59" s="1011"/>
      <c r="AZ59" s="1011"/>
    </row>
    <row s="16622" customFormat="1" customHeight="1" ht="5.25">
      <c r="A60" s="1570" t="s">
        <v>248</v>
      </c>
      <c r="B60" s="1570"/>
      <c r="C60" s="1570"/>
      <c r="D60" s="1570"/>
      <c r="E60" s="2389"/>
      <c r="F60" s="1570"/>
      <c r="G60" s="1570"/>
      <c r="H60" s="1570"/>
      <c r="I60" s="1570"/>
      <c r="J60" s="1570"/>
      <c r="K60" s="1570"/>
      <c r="L60" s="1573"/>
      <c r="M60" s="1548"/>
      <c r="N60" s="1548"/>
      <c r="O60" s="740"/>
      <c r="P60" s="602"/>
      <c r="Q60" s="1571"/>
      <c r="R60" s="602"/>
      <c r="S60" s="1549"/>
      <c r="T60" s="1552" t="s">
        <v>358</v>
      </c>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W60" s="722"/>
      <c r="AX60" s="722" t="str">
        <f>IF(T60="","",T60)</f>
        <v>Добавить территорию для дифференциации</v>
      </c>
      <c r="AY60" s="722"/>
      <c r="AZ60" s="722"/>
    </row>
    <row s="16622" customFormat="1" customHeight="1" ht="5.25">
      <c r="A61" s="1570" t="s">
        <v>248</v>
      </c>
      <c r="B61" s="1570"/>
      <c r="C61" s="1570"/>
      <c r="D61" s="1570"/>
      <c r="E61" s="2388"/>
      <c r="F61" s="1570"/>
      <c r="G61" s="1570"/>
      <c r="H61" s="1570"/>
      <c r="I61" s="1570"/>
      <c r="J61" s="1570"/>
      <c r="K61" s="1570"/>
      <c r="L61" s="1573"/>
      <c r="M61" s="1548"/>
      <c r="N61" s="1548"/>
      <c r="O61" s="740"/>
      <c r="P61" s="602"/>
      <c r="Q61" s="1571"/>
      <c r="R61" s="602"/>
      <c r="S61" s="1549"/>
      <c r="T61" s="1552" t="s">
        <v>358</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W61" s="722"/>
      <c r="AX61" s="722" t="str">
        <f>IF(T61="","",T61)</f>
        <v>Добавить территорию для дифференциации</v>
      </c>
      <c r="AY61" s="722"/>
      <c r="AZ61" s="722"/>
    </row>
    <row s="16531" customFormat="1" customHeight="1" ht="5.25">
      <c r="A62" s="1541"/>
      <c r="B62" s="1541"/>
      <c r="C62" s="1541"/>
      <c r="D62" s="1541"/>
      <c r="E62" s="1570"/>
      <c r="F62" s="1541"/>
      <c r="G62" s="1541"/>
      <c r="H62" s="1541"/>
      <c r="I62" s="1541"/>
      <c r="J62" s="1541"/>
      <c r="K62" s="1541"/>
      <c r="L62" s="1566"/>
      <c r="M62" s="1548"/>
      <c r="N62" s="1548"/>
      <c r="P62" s="1543"/>
      <c r="Q62" s="1544"/>
      <c r="R62" s="1543"/>
      <c r="S62" s="1549"/>
      <c r="T62" s="1552" t="s">
        <v>359</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W62" s="1011"/>
      <c r="AX62" s="1011" t="str">
        <f>IF(T62="","",T62)</f>
        <v>Добавить наименование тарифа</v>
      </c>
      <c r="AY62" s="1011"/>
      <c r="AZ62" s="1011"/>
    </row>
    <row customHeight="1" ht="11.25">
      <c r="M63" s="1384"/>
      <c r="N63" s="1384"/>
      <c r="O63" s="759"/>
      <c r="P63" s="1384"/>
      <c r="Q63" s="1384"/>
      <c r="R63" s="1379"/>
      <c r="S63" s="1379"/>
      <c r="AV63" s="1379"/>
      <c r="AW63" s="1379"/>
      <c r="AX63" s="1379"/>
      <c r="AY63" s="1379"/>
      <c r="AZ63" s="1379"/>
    </row>
    <row customHeight="1" ht="18.75">
      <c r="O64" s="759"/>
      <c r="S64" s="1479"/>
      <c r="T64" s="2387"/>
      <c r="U64" s="2387"/>
      <c r="V64" s="2387"/>
      <c r="W64" s="2387"/>
      <c r="X64" s="2387"/>
      <c r="Y64" s="2387"/>
      <c r="Z64" s="2387"/>
      <c r="AA64" s="2387"/>
      <c r="AB64" s="2387"/>
      <c r="AC64" s="2387"/>
      <c r="AD64" s="2387"/>
      <c r="AE64" s="2387"/>
      <c r="AF64" s="2387"/>
      <c r="AG64" s="2387"/>
      <c r="AH64" s="2387"/>
      <c r="AI64" s="2387"/>
      <c r="AJ64" s="2387"/>
      <c r="AK64" s="2387"/>
      <c r="AL64" s="2387"/>
      <c r="AM64" s="2387"/>
      <c r="AN64" s="2387"/>
      <c r="AO64" s="2387"/>
      <c r="AP64" s="2387"/>
      <c r="AQ64" s="2387"/>
      <c r="AR64" s="2387"/>
      <c r="AS64" s="2387"/>
      <c r="AT64" s="2387"/>
      <c r="AU64" s="2387"/>
    </row>
    <row customHeight="1" ht="19.5">
      <c r="O65" s="759"/>
      <c r="T65" s="2387"/>
      <c r="U65" s="2387"/>
      <c r="V65" s="2387"/>
      <c r="W65" s="2387"/>
      <c r="X65" s="2387"/>
      <c r="Y65" s="2387"/>
      <c r="Z65" s="2387"/>
      <c r="AA65" s="2387"/>
      <c r="AB65" s="2387"/>
      <c r="AC65" s="2387"/>
      <c r="AD65" s="2387"/>
      <c r="AE65" s="2387"/>
      <c r="AF65" s="2387"/>
      <c r="AG65" s="2387"/>
      <c r="AH65" s="2387"/>
      <c r="AI65" s="2387"/>
      <c r="AJ65" s="2387"/>
      <c r="AK65" s="2387"/>
      <c r="AL65" s="2387"/>
      <c r="AM65" s="2387"/>
      <c r="AN65" s="2387"/>
      <c r="AO65" s="2387"/>
      <c r="AP65" s="2387"/>
      <c r="AQ65" s="2387"/>
      <c r="AR65" s="2387"/>
      <c r="AS65" s="2387"/>
      <c r="AT65" s="2387"/>
      <c r="AU65" s="2387"/>
    </row>
    <row customHeight="1" ht="14.25">
      <c r="O66" s="759"/>
      <c r="T66" s="1560"/>
      <c r="U66" s="1560"/>
      <c r="V66" s="1560"/>
      <c r="W66" s="1560"/>
      <c r="X66" s="1560"/>
      <c r="Y66" s="1560"/>
      <c r="Z66" s="1560"/>
      <c r="AA66" s="1560"/>
      <c r="AB66" s="1560"/>
      <c r="AC66" s="1560"/>
      <c r="AD66" s="1560"/>
      <c r="AE66" s="1560"/>
      <c r="AF66" s="1560"/>
      <c r="AG66" s="1560"/>
      <c r="AH66" s="1560"/>
      <c r="AI66" s="1560"/>
      <c r="AJ66" s="1560"/>
      <c r="AK66" s="1560"/>
      <c r="AL66" s="1560"/>
      <c r="AM66" s="1560"/>
      <c r="AN66" s="1560"/>
      <c r="AO66" s="1560"/>
      <c r="AP66" s="1560"/>
      <c r="AQ66" s="1560"/>
      <c r="AR66" s="1560"/>
      <c r="AS66" s="1560"/>
      <c r="AT66" s="1560"/>
      <c r="AU66" s="1560"/>
    </row>
    <row customHeight="1" ht="18.75">
      <c r="O67" s="759"/>
      <c r="T67" s="2387"/>
      <c r="U67" s="2387"/>
      <c r="V67" s="2387"/>
      <c r="W67" s="2387"/>
      <c r="X67" s="2387"/>
      <c r="Y67" s="2387"/>
      <c r="Z67" s="2387"/>
      <c r="AA67" s="2387"/>
      <c r="AB67" s="2387"/>
      <c r="AC67" s="2387"/>
      <c r="AD67" s="2387"/>
      <c r="AE67" s="2387"/>
      <c r="AF67" s="2387"/>
      <c r="AG67" s="2387"/>
      <c r="AH67" s="2387"/>
      <c r="AI67" s="2387"/>
      <c r="AJ67" s="2387"/>
      <c r="AK67" s="2387"/>
      <c r="AL67" s="2387"/>
      <c r="AM67" s="2387"/>
      <c r="AN67" s="2387"/>
      <c r="AO67" s="2387"/>
      <c r="AP67" s="2387"/>
      <c r="AQ67" s="2387"/>
      <c r="AR67" s="2387"/>
      <c r="AS67" s="2387"/>
      <c r="AT67" s="2387"/>
      <c r="AU67" s="2387"/>
    </row>
    <row customHeight="1" ht="15.75">
      <c r="O68" s="759"/>
      <c r="T68" s="2387"/>
      <c r="U68" s="2387"/>
      <c r="V68" s="2387"/>
      <c r="W68" s="2387"/>
      <c r="X68" s="2387"/>
      <c r="Y68" s="2387"/>
      <c r="Z68" s="2387"/>
      <c r="AA68" s="2387"/>
      <c r="AB68" s="2387"/>
      <c r="AC68" s="2387"/>
      <c r="AD68" s="2387"/>
      <c r="AE68" s="2387"/>
      <c r="AF68" s="2387"/>
      <c r="AG68" s="2387"/>
      <c r="AH68" s="2387"/>
      <c r="AI68" s="2387"/>
      <c r="AJ68" s="2387"/>
      <c r="AK68" s="2387"/>
      <c r="AL68" s="2387"/>
      <c r="AM68" s="2387"/>
      <c r="AN68" s="2387"/>
      <c r="AO68" s="2387"/>
      <c r="AP68" s="2387"/>
      <c r="AQ68" s="2387"/>
      <c r="AR68" s="2387"/>
      <c r="AS68" s="2387"/>
      <c r="AT68" s="2387"/>
      <c r="AU68" s="2387"/>
    </row>
    <row customHeight="1" ht="14.25">
      <c r="O69" s="759"/>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A8DD19-6048-ACF9-FE1E-316CC41BC82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6550" width="10.57421875" hidden="1"/>
    <col min="2" max="2" style="16550" width="11.00390625" hidden="1" customWidth="1"/>
    <col min="3" max="3" style="16550" width="10.57421875" hidden="1"/>
    <col min="4" max="4" style="16550" width="11.8515625" hidden="1" customWidth="1"/>
    <col min="5" max="5" style="16550" width="10.00390625" hidden="1" customWidth="1"/>
    <col min="6" max="6" style="16550" width="8.7109375" hidden="1" customWidth="1"/>
    <col min="7" max="7" style="16550" width="7.57421875" hidden="1" customWidth="1"/>
    <col min="8" max="8" style="16550" width="11.421875" hidden="1" customWidth="1"/>
    <col min="9" max="9" style="16550" width="14.140625" hidden="1" customWidth="1"/>
    <col min="10" max="10" style="16550" width="9.8515625" hidden="1" customWidth="1"/>
    <col min="11" max="11" style="16550" width="14.7109375" hidden="1" customWidth="1"/>
    <col min="12" max="12" style="16831" width="19.140625" hidden="1" customWidth="1"/>
    <col min="13" max="14" style="16631" width="12.28125" hidden="1" customWidth="1"/>
    <col min="15" max="15" style="16631" width="23.421875" hidden="1" customWidth="1"/>
    <col min="16" max="16" style="16832" width="3.7109375" customWidth="1"/>
    <col min="17" max="18" style="16633" width="3.7109375" customWidth="1"/>
    <col min="19" max="19" style="16634" width="12.7109375" customWidth="1"/>
    <col min="20" max="20" style="16635" width="35.7109375" customWidth="1"/>
    <col min="21" max="21" style="16635" width="0.140625" customWidth="1"/>
    <col min="22" max="24" style="16635" width="24.7109375" hidden="1" customWidth="1"/>
    <col min="25" max="25" style="16635" width="11.7109375" hidden="1" customWidth="1"/>
    <col min="26" max="26" style="16635" width="3.7109375" hidden="1" customWidth="1"/>
    <col min="27" max="27" style="16635" width="11.7109375" hidden="1" customWidth="1"/>
    <col min="28" max="28" style="16635" width="8.57421875" hidden="1" customWidth="1"/>
    <col min="29" max="31" style="16635" width="24.7109375" customWidth="1"/>
    <col min="32" max="32" style="16635" width="11.7109375" customWidth="1"/>
    <col min="33" max="33" style="16635" width="3.7109375" customWidth="1"/>
    <col min="34" max="34" style="16635" width="11.7109375" customWidth="1"/>
    <col min="35" max="35" style="16635" width="8.57421875" hidden="1" customWidth="1"/>
    <col min="36" max="36" style="16635" width="4.7109375" customWidth="1"/>
    <col min="37" max="37" style="16635" width="115.7109375" customWidth="1"/>
    <col min="38" max="39" style="16622" width="10.57421875"/>
    <col min="40" max="40" style="16622" width="11.140625" customWidth="1"/>
    <col min="41" max="42" style="16622" width="10.57421875"/>
  </cols>
  <sheetData>
    <row customHeight="1" ht="14.25" hidden="1">
      <c r="X1" s="549"/>
      <c r="Y1" s="549"/>
      <c r="AE1" s="549"/>
      <c r="AF1" s="549"/>
    </row>
    <row customHeight="1" ht="23.25" hidden="1">
      <c r="A2" s="1590"/>
      <c r="B2" s="1590"/>
      <c r="C2" s="1590"/>
      <c r="D2" s="1590"/>
      <c r="E2" s="2388">
        <v>1</v>
      </c>
      <c r="F2" s="1590"/>
      <c r="G2" s="1590"/>
      <c r="H2" s="1590"/>
      <c r="I2" s="1590"/>
      <c r="J2" s="1590"/>
      <c r="K2" s="1590"/>
      <c r="L2" s="1591"/>
      <c r="M2" s="1592"/>
      <c r="N2" s="1592"/>
      <c r="O2" s="1592"/>
      <c r="P2" s="583"/>
      <c r="Q2" s="582"/>
      <c r="R2" s="577"/>
      <c r="S2" s="1652">
        <f>INDEX(PT_DIFFERENTIATION_NUM_NTAR,MATCH(A2,PT_DIFFERENTIATION_NTAR_ID,0))</f>
      </c>
      <c r="T2" s="520" t="s">
        <v>179</v>
      </c>
      <c r="U2" s="522"/>
      <c r="V2" s="2382"/>
      <c r="W2" s="2383"/>
      <c r="X2" s="2383"/>
      <c r="Y2" s="2383"/>
      <c r="Z2" s="2383"/>
      <c r="AA2" s="2383"/>
      <c r="AB2" s="2384"/>
      <c r="AC2" s="2382">
        <f>INDEX(PT_DIFFERENTIATION_NTAR,MATCH(A2,PT_DIFFERENTIATION_NTAR_ID,0))</f>
      </c>
      <c r="AD2" s="2383"/>
      <c r="AE2" s="2383"/>
      <c r="AF2" s="2383"/>
      <c r="AG2" s="2383"/>
      <c r="AH2" s="2383"/>
      <c r="AI2" s="2383"/>
      <c r="AJ2" s="2384"/>
      <c r="AK2" s="14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2"/>
      <c r="AN2" s="722" t="str">
        <f>IF(T2="","",T2)</f>
        <v>Наименование тарифа</v>
      </c>
      <c r="AO2" s="722"/>
      <c r="AP2" s="722"/>
    </row>
    <row customHeight="1" ht="23.25" hidden="1">
      <c r="A3" s="1590"/>
      <c r="B3" s="1590"/>
      <c r="C3" s="1590"/>
      <c r="D3" s="1590"/>
      <c r="E3" s="2389"/>
      <c r="F3" s="2388">
        <v>1</v>
      </c>
      <c r="G3" s="1590"/>
      <c r="H3" s="1590"/>
      <c r="I3" s="1590"/>
      <c r="J3" s="1590"/>
      <c r="K3" s="1590"/>
      <c r="L3" s="1591"/>
      <c r="M3" s="1592"/>
      <c r="N3" s="1592"/>
      <c r="O3" s="1592"/>
      <c r="P3" s="1650"/>
      <c r="Q3" s="574"/>
      <c r="R3" s="575"/>
      <c r="S3" s="1652">
        <f>INDEX(PT_DIFFERENTIATION_NUM_TER,MATCH(B3,PT_DIFFERENTIATION_TER_ID,0))</f>
      </c>
      <c r="T3" s="530" t="s">
        <v>503</v>
      </c>
      <c r="U3" s="522"/>
      <c r="V3" s="2382"/>
      <c r="W3" s="2383"/>
      <c r="X3" s="2383"/>
      <c r="Y3" s="2383"/>
      <c r="Z3" s="2383"/>
      <c r="AA3" s="2383"/>
      <c r="AB3" s="2384"/>
      <c r="AC3" s="2382">
        <f>INDEX(PT_DIFFERENTIATION_TER,MATCH(B3,PT_DIFFERENTIATION_TER_ID,0))</f>
      </c>
      <c r="AD3" s="2383"/>
      <c r="AE3" s="2383"/>
      <c r="AF3" s="2383"/>
      <c r="AG3" s="2383"/>
      <c r="AH3" s="2383"/>
      <c r="AI3" s="2383"/>
      <c r="AJ3" s="2384"/>
      <c r="AK3" s="1484" t="s">
        <v>504</v>
      </c>
      <c r="AM3" s="722"/>
      <c r="AN3" s="722" t="str">
        <f>IF(T3="","",T3)</f>
        <v>Территория действия тарифа</v>
      </c>
      <c r="AO3" s="722"/>
      <c r="AP3" s="722"/>
    </row>
    <row customHeight="1" ht="23.25" hidden="1">
      <c r="A4" s="1590"/>
      <c r="B4" s="1590"/>
      <c r="C4" s="1590"/>
      <c r="D4" s="1590"/>
      <c r="E4" s="2389"/>
      <c r="F4" s="2389"/>
      <c r="G4" s="2388">
        <v>1</v>
      </c>
      <c r="H4" s="1590"/>
      <c r="I4" s="1590"/>
      <c r="J4" s="1590"/>
      <c r="K4" s="1590"/>
      <c r="L4" s="1591"/>
      <c r="M4" s="1592"/>
      <c r="N4" s="1592"/>
      <c r="O4" s="1592"/>
      <c r="P4" s="576"/>
      <c r="Q4" s="574"/>
      <c r="R4" s="575"/>
      <c r="S4" s="1652">
        <f>INDEX(PT_DIFFERENTIATION_NUM_CS,MATCH(C4,PT_DIFFERENTIATION_CS_ID,0))</f>
      </c>
      <c r="T4" s="531" t="s">
        <v>585</v>
      </c>
      <c r="U4" s="522"/>
      <c r="V4" s="2382"/>
      <c r="W4" s="2383"/>
      <c r="X4" s="2383"/>
      <c r="Y4" s="2383"/>
      <c r="Z4" s="2383"/>
      <c r="AA4" s="2383"/>
      <c r="AB4" s="2384"/>
      <c r="AC4" s="2382">
        <f>INDEX(PT_DIFFERENTIATION_CS,MATCH(C4,PT_DIFFERENTIATION_CS_ID,0))</f>
      </c>
      <c r="AD4" s="2383"/>
      <c r="AE4" s="2383"/>
      <c r="AF4" s="2383"/>
      <c r="AG4" s="2383"/>
      <c r="AH4" s="2383"/>
      <c r="AI4" s="2383"/>
      <c r="AJ4" s="2384"/>
      <c r="AK4" s="1484" t="s">
        <v>586</v>
      </c>
      <c r="AM4" s="722"/>
      <c r="AN4" s="722" t="str">
        <f>IF(T4="","",T4)</f>
        <v>Наименование централизованной системы холодного водоснабжения</v>
      </c>
      <c r="AO4" s="722"/>
      <c r="AP4" s="722"/>
    </row>
    <row customHeight="1" ht="23.25" hidden="1">
      <c r="A5" s="1590"/>
      <c r="B5" s="1590"/>
      <c r="C5" s="1590"/>
      <c r="D5" s="1590"/>
      <c r="E5" s="2389"/>
      <c r="F5" s="2389"/>
      <c r="G5" s="2389"/>
      <c r="H5" s="2389"/>
      <c r="I5" s="2390">
        <f>S4&amp;".1"</f>
      </c>
      <c r="J5" s="1590"/>
      <c r="K5" s="1590"/>
      <c r="L5" s="1591"/>
      <c r="P5" s="2392">
        <v>1</v>
      </c>
      <c r="Q5" s="1649"/>
      <c r="R5" s="578"/>
      <c r="S5" s="1652">
        <f>$I5</f>
      </c>
      <c r="T5" s="507" t="s">
        <v>587</v>
      </c>
      <c r="U5" s="522"/>
      <c r="V5" s="2475"/>
      <c r="W5" s="2476"/>
      <c r="X5" s="2476"/>
      <c r="Y5" s="2476"/>
      <c r="Z5" s="2476"/>
      <c r="AA5" s="2476"/>
      <c r="AB5" s="2477"/>
      <c r="AC5" s="2478"/>
      <c r="AD5" s="2479"/>
      <c r="AE5" s="2479"/>
      <c r="AF5" s="2479"/>
      <c r="AG5" s="2479"/>
      <c r="AH5" s="2479"/>
      <c r="AI5" s="2479"/>
      <c r="AJ5" s="2480"/>
      <c r="AK5" s="1484" t="s">
        <v>588</v>
      </c>
      <c r="AM5" s="722"/>
      <c r="AN5" s="722" t="str">
        <f>IF(T5="","",T5)</f>
        <v>Наименование признака дифференциации</v>
      </c>
      <c r="AO5" s="722"/>
      <c r="AP5" s="722"/>
    </row>
    <row customHeight="1" ht="23.25" hidden="1">
      <c r="A6" s="1590"/>
      <c r="B6" s="1590"/>
      <c r="C6" s="1590"/>
      <c r="D6" s="1590"/>
      <c r="E6" s="2389"/>
      <c r="F6" s="2389"/>
      <c r="G6" s="2389"/>
      <c r="H6" s="2389"/>
      <c r="I6" s="2391"/>
      <c r="J6" s="2390">
        <f>I5&amp;".1"</f>
      </c>
      <c r="K6" s="1590"/>
      <c r="L6" s="1591" t="s">
        <v>512</v>
      </c>
      <c r="P6" s="2392"/>
      <c r="Q6" s="2392">
        <v>1</v>
      </c>
      <c r="R6" s="579"/>
      <c r="S6" s="1652">
        <f>$J6</f>
      </c>
      <c r="T6" s="508" t="s">
        <v>513</v>
      </c>
      <c r="U6" s="522"/>
      <c r="V6" s="2376"/>
      <c r="W6" s="2377"/>
      <c r="X6" s="2377"/>
      <c r="Y6" s="2377"/>
      <c r="Z6" s="2377"/>
      <c r="AA6" s="2377"/>
      <c r="AB6" s="2378"/>
      <c r="AC6" s="2376"/>
      <c r="AD6" s="2377"/>
      <c r="AE6" s="2377"/>
      <c r="AF6" s="2377"/>
      <c r="AG6" s="2377"/>
      <c r="AH6" s="2377"/>
      <c r="AI6" s="2377"/>
      <c r="AJ6" s="2378"/>
      <c r="AK6" s="1534" t="s">
        <v>589</v>
      </c>
      <c r="AM6" s="722"/>
      <c r="AN6" s="722" t="str">
        <f>IF(T6="","",T6)</f>
        <v>Группа потребителей</v>
      </c>
      <c r="AO6" s="722"/>
      <c r="AP6" s="722"/>
    </row>
    <row customHeight="1" ht="23.25" hidden="1">
      <c r="A7" s="1590"/>
      <c r="B7" s="1590"/>
      <c r="C7" s="1590"/>
      <c r="D7" s="1590"/>
      <c r="E7" s="2389"/>
      <c r="F7" s="2389"/>
      <c r="G7" s="2389"/>
      <c r="H7" s="2389"/>
      <c r="I7" s="2391"/>
      <c r="J7" s="2391"/>
      <c r="K7" s="2390">
        <f>J6&amp;".1"</f>
      </c>
      <c r="L7" s="1591"/>
      <c r="P7" s="2392"/>
      <c r="Q7" s="2392"/>
      <c r="R7" s="579">
        <v>1</v>
      </c>
      <c r="S7" s="1652">
        <f>$K7</f>
      </c>
      <c r="T7" s="1664"/>
      <c r="U7" s="522"/>
      <c r="V7" s="973"/>
      <c r="W7" s="973"/>
      <c r="X7" s="1483"/>
      <c r="Y7" s="2393"/>
      <c r="Z7" s="2263" t="s">
        <v>63</v>
      </c>
      <c r="AA7" s="2393"/>
      <c r="AB7" s="2263" t="s">
        <v>63</v>
      </c>
      <c r="AC7" s="973"/>
      <c r="AD7" s="973"/>
      <c r="AE7" s="1483"/>
      <c r="AF7" s="2393"/>
      <c r="AG7" s="2263" t="s">
        <v>63</v>
      </c>
      <c r="AH7" s="2395"/>
      <c r="AI7" s="2263" t="s">
        <v>63</v>
      </c>
      <c r="AJ7" s="1665"/>
      <c r="AK7" s="24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3">
        <f>STRCHECKDATE(V8:AJ8)</f>
      </c>
      <c r="AM7" s="722"/>
      <c r="AN7" s="722" t="str">
        <f>IF(T7="","",T7)</f>
        <v/>
      </c>
      <c r="AO7" s="722"/>
      <c r="AP7" s="722"/>
    </row>
    <row customHeight="1" ht="14.25" hidden="1">
      <c r="A8" s="1590"/>
      <c r="B8" s="1590"/>
      <c r="C8" s="1590"/>
      <c r="D8" s="1590"/>
      <c r="E8" s="2389"/>
      <c r="F8" s="2389"/>
      <c r="G8" s="2389"/>
      <c r="H8" s="2389"/>
      <c r="I8" s="2391"/>
      <c r="J8" s="2391"/>
      <c r="K8" s="2390"/>
      <c r="L8" s="1591"/>
      <c r="P8" s="2392"/>
      <c r="Q8" s="2392"/>
      <c r="R8" s="579"/>
      <c r="S8" s="1651"/>
      <c r="T8" s="522"/>
      <c r="U8" s="522"/>
      <c r="V8" s="547"/>
      <c r="W8" s="547"/>
      <c r="X8" s="550" t="str">
        <f>Y7&amp;"-"&amp;AA7</f>
        <v>-</v>
      </c>
      <c r="Y8" s="2394"/>
      <c r="Z8" s="2263"/>
      <c r="AA8" s="2394"/>
      <c r="AB8" s="2263"/>
      <c r="AC8" s="547"/>
      <c r="AD8" s="547"/>
      <c r="AE8" s="550" t="str">
        <f>AF7&amp;"-"&amp;AH7</f>
        <v>-</v>
      </c>
      <c r="AF8" s="2394"/>
      <c r="AG8" s="2263"/>
      <c r="AH8" s="2396"/>
      <c r="AI8" s="2263"/>
      <c r="AJ8" s="1666"/>
      <c r="AK8" s="2481"/>
      <c r="AM8" s="722"/>
      <c r="AN8" s="722" t="str">
        <f>IF(T8="","",T8)</f>
        <v/>
      </c>
      <c r="AO8" s="722"/>
      <c r="AP8" s="722"/>
    </row>
    <row customHeight="1" ht="21" hidden="1">
      <c r="A9" s="1590"/>
      <c r="B9" s="1590"/>
      <c r="C9" s="1590"/>
      <c r="D9" s="1590"/>
      <c r="E9" s="2389"/>
      <c r="F9" s="2389"/>
      <c r="G9" s="2389"/>
      <c r="H9" s="2389"/>
      <c r="I9" s="2391"/>
      <c r="J9" s="2390"/>
      <c r="K9" s="1590"/>
      <c r="L9" s="1591"/>
      <c r="P9" s="2392"/>
      <c r="Q9" s="2392"/>
      <c r="R9" s="578"/>
      <c r="S9" s="1505"/>
      <c r="T9" s="509" t="s">
        <v>590</v>
      </c>
      <c r="U9" s="589"/>
      <c r="V9" s="589"/>
      <c r="W9" s="589"/>
      <c r="X9" s="589"/>
      <c r="Y9" s="589"/>
      <c r="Z9" s="589"/>
      <c r="AA9" s="589"/>
      <c r="AB9" s="589"/>
      <c r="AC9" s="589"/>
      <c r="AD9" s="589"/>
      <c r="AE9" s="589"/>
      <c r="AF9" s="589"/>
      <c r="AG9" s="589"/>
      <c r="AH9" s="589"/>
      <c r="AI9" s="589"/>
      <c r="AJ9" s="589"/>
      <c r="AK9" s="1484" t="s">
        <v>591</v>
      </c>
      <c r="AM9" s="722"/>
      <c r="AN9" s="722" t="str">
        <f>IF(T9="","",T9)</f>
        <v>Добавить значение признака дифференциации</v>
      </c>
      <c r="AO9" s="722"/>
      <c r="AP9" s="722"/>
    </row>
    <row customHeight="1" ht="21" hidden="1">
      <c r="A10" s="1590"/>
      <c r="B10" s="1590"/>
      <c r="C10" s="1590"/>
      <c r="D10" s="1590"/>
      <c r="E10" s="2389"/>
      <c r="F10" s="2389"/>
      <c r="G10" s="2389"/>
      <c r="H10" s="2389"/>
      <c r="I10" s="2390"/>
      <c r="J10" s="1590"/>
      <c r="K10" s="1590"/>
      <c r="L10" s="1591"/>
      <c r="P10" s="2392"/>
      <c r="Q10" s="1649"/>
      <c r="R10" s="578"/>
      <c r="S10" s="1505"/>
      <c r="T10" s="587" t="s">
        <v>518</v>
      </c>
      <c r="U10" s="589"/>
      <c r="V10" s="589"/>
      <c r="W10" s="589"/>
      <c r="X10" s="589"/>
      <c r="Y10" s="589"/>
      <c r="Z10" s="589"/>
      <c r="AA10" s="589"/>
      <c r="AB10" s="588"/>
      <c r="AC10" s="589"/>
      <c r="AD10" s="589"/>
      <c r="AE10" s="589"/>
      <c r="AF10" s="589"/>
      <c r="AG10" s="589"/>
      <c r="AH10" s="589"/>
      <c r="AI10" s="588"/>
      <c r="AJ10" s="589"/>
      <c r="AK10" s="1667"/>
      <c r="AM10" s="722"/>
      <c r="AN10" s="722" t="str">
        <f>IF(T10="","",T10)</f>
        <v>Добавить группу потребителей</v>
      </c>
      <c r="AO10" s="722"/>
      <c r="AP10" s="722"/>
    </row>
    <row customHeight="1" ht="14.25" hidden="1">
      <c r="A11" s="1590"/>
      <c r="B11" s="1590"/>
      <c r="C11" s="1590"/>
      <c r="D11" s="1590"/>
      <c r="E11" s="2389"/>
      <c r="F11" s="2389"/>
      <c r="G11" s="2389"/>
      <c r="H11" s="2388"/>
      <c r="I11" s="1590"/>
      <c r="J11" s="1590"/>
      <c r="K11" s="1590"/>
      <c r="L11" s="1591"/>
      <c r="M11" s="1592"/>
      <c r="N11" s="1592"/>
      <c r="O11" s="759"/>
      <c r="P11" s="582"/>
      <c r="Q11" s="597"/>
      <c r="R11" s="577"/>
      <c r="S11" s="1505"/>
      <c r="T11" s="594" t="s">
        <v>592</v>
      </c>
      <c r="U11" s="589"/>
      <c r="V11" s="589"/>
      <c r="W11" s="589"/>
      <c r="X11" s="589"/>
      <c r="Y11" s="589"/>
      <c r="Z11" s="589"/>
      <c r="AA11" s="589"/>
      <c r="AB11" s="588"/>
      <c r="AC11" s="589"/>
      <c r="AD11" s="589"/>
      <c r="AE11" s="589"/>
      <c r="AF11" s="589"/>
      <c r="AG11" s="589"/>
      <c r="AH11" s="589"/>
      <c r="AI11" s="588"/>
      <c r="AJ11" s="589"/>
      <c r="AK11" s="525"/>
      <c r="AM11" s="722"/>
      <c r="AN11" s="722" t="str">
        <f>IF(T11="","",T11)</f>
        <v>Добавить наименование признака дифференциации</v>
      </c>
      <c r="AO11" s="722"/>
      <c r="AP11" s="722"/>
    </row>
    <row s="16531" customFormat="1" customHeight="1" ht="14.25" hidden="1">
      <c r="A12" s="1570"/>
      <c r="B12" s="1570"/>
      <c r="C12" s="1541"/>
      <c r="D12" s="1541"/>
      <c r="E12" s="2389"/>
      <c r="F12" s="2388"/>
      <c r="G12" s="1541"/>
      <c r="H12" s="1541"/>
      <c r="I12" s="1541"/>
      <c r="J12" s="1541"/>
      <c r="K12" s="1541"/>
      <c r="L12" s="1653"/>
      <c r="M12" s="1548"/>
      <c r="N12" s="1548"/>
      <c r="P12" s="1543"/>
      <c r="Q12" s="1544"/>
      <c r="R12" s="1543"/>
      <c r="S12" s="1549"/>
      <c r="T12" s="1552" t="s">
        <v>305</v>
      </c>
      <c r="U12" s="1551"/>
      <c r="V12" s="1551"/>
      <c r="W12" s="1551"/>
      <c r="X12" s="1551"/>
      <c r="Y12" s="1551"/>
      <c r="Z12" s="1551"/>
      <c r="AA12" s="1551"/>
      <c r="AB12" s="1551"/>
      <c r="AC12" s="1551"/>
      <c r="AD12" s="1551"/>
      <c r="AE12" s="1551"/>
      <c r="AF12" s="1551"/>
      <c r="AG12" s="1551"/>
      <c r="AH12" s="1551"/>
      <c r="AI12" s="1551"/>
      <c r="AJ12" s="1551"/>
      <c r="AK12" s="1551"/>
      <c r="AM12" s="1011"/>
      <c r="AN12" s="1011" t="str">
        <f>IF(T12="","",T12)</f>
        <v>Добавить централизованную систему для дифференциации</v>
      </c>
      <c r="AO12" s="1011"/>
      <c r="AP12" s="1011"/>
    </row>
    <row s="16622" customFormat="1" customHeight="1" ht="14.25" hidden="1">
      <c r="A13" s="1570"/>
      <c r="B13" s="1570"/>
      <c r="C13" s="1570"/>
      <c r="D13" s="1570"/>
      <c r="E13" s="2388"/>
      <c r="F13" s="1570"/>
      <c r="G13" s="1570"/>
      <c r="H13" s="1570"/>
      <c r="I13" s="1570"/>
      <c r="J13" s="1570"/>
      <c r="K13" s="1570"/>
      <c r="L13" s="1573"/>
      <c r="M13" s="1548"/>
      <c r="N13" s="1548"/>
      <c r="O13" s="740"/>
      <c r="P13" s="602"/>
      <c r="Q13" s="1571"/>
      <c r="R13" s="602"/>
      <c r="S13" s="1549"/>
      <c r="T13" s="1552" t="s">
        <v>358</v>
      </c>
      <c r="U13" s="1551"/>
      <c r="V13" s="1551"/>
      <c r="W13" s="1551"/>
      <c r="X13" s="1551"/>
      <c r="Y13" s="1551"/>
      <c r="Z13" s="1551"/>
      <c r="AA13" s="1551"/>
      <c r="AB13" s="1551"/>
      <c r="AC13" s="1551"/>
      <c r="AD13" s="1551"/>
      <c r="AE13" s="1551"/>
      <c r="AF13" s="1551"/>
      <c r="AG13" s="1551"/>
      <c r="AH13" s="1551"/>
      <c r="AI13" s="1551"/>
      <c r="AJ13" s="1551"/>
      <c r="AK13" s="1551"/>
      <c r="AM13" s="722"/>
      <c r="AN13" s="722" t="str">
        <f>IF(T13="","",T13)</f>
        <v>Добавить территорию для дифференциации</v>
      </c>
      <c r="AO13" s="722"/>
      <c r="AP13" s="722"/>
    </row>
    <row customHeight="1" ht="14.25" hidden="1">
      <c r="AB14" s="549"/>
      <c r="AI14" s="549"/>
    </row>
    <row customHeight="1" ht="14.25" hidden="1">
      <c r="AC15" s="1587"/>
      <c r="AD15" s="1587"/>
      <c r="AE15" s="1588"/>
      <c r="AF15" s="2386"/>
      <c r="AG15" s="2385" t="s">
        <v>63</v>
      </c>
      <c r="AH15" s="2386"/>
      <c r="AI15" s="2385" t="s">
        <v>63</v>
      </c>
    </row>
    <row customHeight="1" ht="14.25" hidden="1">
      <c r="AC16" s="1587"/>
      <c r="AD16" s="1587"/>
      <c r="AE16" s="550" t="str">
        <f>AF15&amp;"-"&amp;AH15</f>
        <v>-</v>
      </c>
      <c r="AF16" s="2385"/>
      <c r="AG16" s="2385"/>
      <c r="AH16" s="2385"/>
      <c r="AI16" s="2385"/>
    </row>
    <row customHeight="1" ht="14.25" hidden="1">
      <c r="AI17" s="549"/>
    </row>
    <row s="16550" customFormat="1" customHeight="1" ht="22.5" hidden="1">
      <c r="L18" s="1648"/>
      <c r="M18" s="1589"/>
      <c r="N18" s="1589"/>
      <c r="O18" s="1594" t="s">
        <v>521</v>
      </c>
      <c r="P18" s="1589"/>
      <c r="Q18" s="1598"/>
      <c r="R18" s="1598"/>
      <c r="S18" s="951"/>
      <c r="Y18" s="1594"/>
      <c r="AA18" s="1594"/>
      <c r="AB18" s="1593"/>
      <c r="AF18" s="1594"/>
      <c r="AH18" s="1594"/>
      <c r="AI18" s="1593"/>
      <c r="AL18" s="733"/>
      <c r="AM18" s="733"/>
      <c r="AN18" s="733"/>
      <c r="AO18" s="733"/>
      <c r="AP18" s="733"/>
    </row>
    <row s="16550" customFormat="1" customHeight="1" ht="14.25" hidden="1">
      <c r="L19" s="1648"/>
      <c r="M19" s="1589"/>
      <c r="N19" s="1589"/>
      <c r="O19" s="1589"/>
      <c r="P19" s="1589"/>
      <c r="Q19" s="1598"/>
      <c r="R19" s="1598"/>
      <c r="S19" s="951"/>
      <c r="AB19" s="1593"/>
      <c r="AI19" s="1593"/>
      <c r="AL19" s="733"/>
      <c r="AM19" s="733"/>
      <c r="AN19" s="733"/>
      <c r="AO19" s="733"/>
      <c r="AP19" s="733"/>
    </row>
    <row s="16550" customFormat="1" customHeight="1" ht="12" hidden="1">
      <c r="L20" s="1648"/>
      <c r="M20" s="1589"/>
      <c r="N20" s="1589"/>
      <c r="O20" s="1591" t="s">
        <v>522</v>
      </c>
      <c r="P20" s="1589"/>
      <c r="Q20" s="1669"/>
      <c r="R20" s="1669"/>
      <c r="S20" s="951"/>
      <c r="T20" s="1384" t="s">
        <v>523</v>
      </c>
      <c r="Z20" s="408" t="s">
        <v>524</v>
      </c>
      <c r="AB20" s="408" t="s">
        <v>525</v>
      </c>
      <c r="AC20" s="1384" t="s">
        <v>523</v>
      </c>
      <c r="AG20" s="408" t="s">
        <v>526</v>
      </c>
      <c r="AI20" s="408" t="s">
        <v>525</v>
      </c>
    </row>
    <row customHeight="1" ht="14.25" hidden="1">
      <c r="O21" s="1591"/>
    </row>
    <row customHeight="1" ht="14.25" hidden="1">
      <c r="O22" s="1591"/>
    </row>
    <row customHeight="1" ht="14.25">
      <c r="Q23" s="598"/>
      <c r="R23" s="598"/>
      <c r="S23" s="1502"/>
      <c r="T23" s="585"/>
      <c r="U23" s="585"/>
      <c r="V23" s="731"/>
      <c r="W23" s="731"/>
      <c r="X23" s="731"/>
      <c r="Y23" s="731"/>
      <c r="Z23" s="731"/>
      <c r="AA23" s="731"/>
      <c r="AB23" s="731"/>
      <c r="AC23" s="731"/>
      <c r="AD23" s="731"/>
      <c r="AE23" s="731"/>
      <c r="AF23" s="731"/>
      <c r="AG23" s="731"/>
      <c r="AH23" s="731"/>
      <c r="AI23" s="731"/>
    </row>
    <row customHeight="1" ht="14.25">
      <c r="Q24" s="598"/>
      <c r="R24" s="598"/>
      <c r="S24" s="24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21"/>
      <c r="U24" s="2421"/>
      <c r="V24" s="2421"/>
      <c r="W24" s="2421"/>
      <c r="X24" s="2421"/>
      <c r="Y24" s="2421"/>
      <c r="Z24" s="2421"/>
      <c r="AA24" s="2421"/>
      <c r="AB24" s="2421"/>
      <c r="AC24" s="2421"/>
      <c r="AD24" s="2421"/>
      <c r="AE24" s="2421"/>
      <c r="AF24" s="2421"/>
      <c r="AG24" s="2421"/>
      <c r="AH24" s="2421"/>
      <c r="AI24" s="1469"/>
    </row>
    <row customHeight="1" ht="14.25">
      <c r="Q25" s="598"/>
      <c r="R25" s="598"/>
      <c r="S25" s="2422" t="str">
        <f>IF(org=0,"Не определено",org)</f>
        <v>КГУП "Примтеплоэнерго"</v>
      </c>
      <c r="T25" s="2422"/>
      <c r="U25" s="2422"/>
      <c r="V25" s="2422"/>
      <c r="W25" s="2422"/>
      <c r="X25" s="2422"/>
      <c r="Y25" s="2422"/>
      <c r="Z25" s="2422"/>
      <c r="AA25" s="2422"/>
      <c r="AB25" s="2422"/>
      <c r="AC25" s="2422"/>
      <c r="AD25" s="2422"/>
      <c r="AE25" s="2422"/>
      <c r="AF25" s="2422"/>
      <c r="AG25" s="2422"/>
      <c r="AH25" s="2422"/>
      <c r="AI25" s="1469"/>
    </row>
    <row customHeight="1" ht="14.25" hidden="1">
      <c r="Q26" s="598"/>
      <c r="R26" s="598"/>
      <c r="S26" s="1502"/>
      <c r="T26" s="585"/>
      <c r="U26" s="585"/>
      <c r="V26" s="544"/>
      <c r="W26" s="544"/>
      <c r="X26" s="544"/>
      <c r="Y26" s="544"/>
      <c r="Z26" s="544"/>
      <c r="AA26" s="544"/>
      <c r="AB26" s="544"/>
      <c r="AC26" s="544"/>
      <c r="AD26" s="544"/>
      <c r="AE26" s="544"/>
      <c r="AF26" s="544"/>
      <c r="AG26" s="544"/>
      <c r="AH26" s="544"/>
      <c r="AI26" s="544"/>
      <c r="AJ26" s="731"/>
    </row>
    <row s="16563" customFormat="1" customHeight="1" ht="25.5" hidden="1">
      <c r="A27" s="1595"/>
      <c r="B27" s="1595"/>
      <c r="C27" s="1595"/>
      <c r="D27" s="1595"/>
      <c r="E27" s="1595"/>
      <c r="F27" s="1595"/>
      <c r="G27" s="1595"/>
      <c r="H27" s="1595"/>
      <c r="I27" s="1595"/>
      <c r="J27" s="1595"/>
      <c r="K27" s="1595"/>
      <c r="L27" s="1596"/>
      <c r="M27" s="1595"/>
      <c r="N27" s="1595"/>
      <c r="O27" s="1595"/>
      <c r="S27" s="2379" t="s">
        <v>38</v>
      </c>
      <c r="T27" s="2379"/>
      <c r="U27" s="1599"/>
      <c r="V27" s="2381" t="str">
        <f>IF(TITLE_NAME_OR_PR_CHANGE="",IF(TITLE_NAME_OR_PR="","",TITLE_NAME_OR_PR),TITLE_NAME_OR_PR_CHANGE)</f>
        <v/>
      </c>
      <c r="W27" s="2381"/>
      <c r="X27" s="2381"/>
      <c r="Y27" s="2381"/>
      <c r="Z27" s="2381"/>
      <c r="AA27" s="2381"/>
      <c r="AB27" s="548"/>
      <c r="AC27" s="2381" t="str">
        <f>IF(TITLE_NAME_OR_PR_CHANGE="",IF(TITLE_NAME_OR_PR="","",TITLE_NAME_OR_PR),TITLE_NAME_OR_PR_CHANGE)</f>
        <v/>
      </c>
      <c r="AD27" s="2381"/>
      <c r="AE27" s="2381"/>
      <c r="AF27" s="2381"/>
      <c r="AG27" s="2381"/>
      <c r="AH27" s="2381"/>
      <c r="AI27" s="548"/>
      <c r="AJ27" s="548"/>
      <c r="AK27" s="502"/>
      <c r="AL27" s="590"/>
      <c r="AM27" s="590"/>
      <c r="AN27" s="590"/>
      <c r="AO27" s="590"/>
      <c r="AP27" s="590"/>
    </row>
    <row s="16563" customFormat="1" customHeight="1" ht="18.75" hidden="1">
      <c r="A28" s="1595"/>
      <c r="B28" s="1595"/>
      <c r="C28" s="1595"/>
      <c r="D28" s="1595"/>
      <c r="E28" s="1595"/>
      <c r="F28" s="1595"/>
      <c r="G28" s="1595"/>
      <c r="H28" s="1595"/>
      <c r="I28" s="1595"/>
      <c r="J28" s="1595"/>
      <c r="K28" s="1595"/>
      <c r="L28" s="1596"/>
      <c r="M28" s="1595"/>
      <c r="N28" s="1595"/>
      <c r="O28" s="1595"/>
      <c r="S28" s="2379" t="s">
        <v>527</v>
      </c>
      <c r="T28" s="2379"/>
      <c r="U28" s="1599"/>
      <c r="V28" s="2380" t="str">
        <f>IF(TITLE_DATE_PR_CHANGE="",IF(TITLE_DATE_PR="","",TITLE_DATE_PR),TITLE_DATE_PR_CHANGE)</f>
        <v>45407.47206018519</v>
      </c>
      <c r="W28" s="2380"/>
      <c r="X28" s="2380"/>
      <c r="Y28" s="2380"/>
      <c r="Z28" s="2380"/>
      <c r="AA28" s="2380"/>
      <c r="AB28" s="548"/>
      <c r="AC28" s="2380" t="str">
        <f>IF(TITLE_DATE_PR_CHANGE="",IF(TITLE_DATE_PR="","",TITLE_DATE_PR),TITLE_DATE_PR_CHANGE)</f>
        <v>45407.47206018519</v>
      </c>
      <c r="AD28" s="2380"/>
      <c r="AE28" s="2380"/>
      <c r="AF28" s="2380"/>
      <c r="AG28" s="2380"/>
      <c r="AH28" s="2380"/>
      <c r="AI28" s="548"/>
      <c r="AJ28" s="548"/>
      <c r="AK28" s="502"/>
      <c r="AL28" s="590"/>
      <c r="AM28" s="590"/>
      <c r="AN28" s="590"/>
      <c r="AO28" s="590"/>
      <c r="AP28" s="590"/>
    </row>
    <row s="16563" customFormat="1" customHeight="1" ht="18.75" hidden="1">
      <c r="A29" s="1595"/>
      <c r="B29" s="1595"/>
      <c r="C29" s="1595"/>
      <c r="D29" s="1595"/>
      <c r="E29" s="1595"/>
      <c r="F29" s="1595"/>
      <c r="G29" s="1595"/>
      <c r="H29" s="1595"/>
      <c r="I29" s="1595"/>
      <c r="J29" s="1595"/>
      <c r="K29" s="1595"/>
      <c r="L29" s="1596"/>
      <c r="M29" s="1595"/>
      <c r="N29" s="1595"/>
      <c r="O29" s="1595"/>
      <c r="S29" s="2379" t="s">
        <v>528</v>
      </c>
      <c r="T29" s="2379"/>
      <c r="U29" s="1599"/>
      <c r="V29" s="2381" t="str">
        <f>IF(TITLE_NUMBER_PR_CHANGE="",IF(TITLE_NUMBER_PR="","",TITLE_NUMBER_PR),TITLE_NUMBER_PR_CHANGE)</f>
        <v>27-2067</v>
      </c>
      <c r="W29" s="2381"/>
      <c r="X29" s="2381"/>
      <c r="Y29" s="2381"/>
      <c r="Z29" s="2381"/>
      <c r="AA29" s="2381"/>
      <c r="AB29" s="548"/>
      <c r="AC29" s="2381" t="str">
        <f>IF(TITLE_NUMBER_PR_CHANGE="",IF(TITLE_NUMBER_PR="","",TITLE_NUMBER_PR),TITLE_NUMBER_PR_CHANGE)</f>
        <v>27-2067</v>
      </c>
      <c r="AD29" s="2381"/>
      <c r="AE29" s="2381"/>
      <c r="AF29" s="2381"/>
      <c r="AG29" s="2381"/>
      <c r="AH29" s="2381"/>
      <c r="AI29" s="548"/>
      <c r="AJ29" s="548"/>
      <c r="AK29" s="502"/>
      <c r="AL29" s="590"/>
      <c r="AM29" s="590"/>
      <c r="AN29" s="590"/>
      <c r="AO29" s="590"/>
      <c r="AP29" s="590"/>
    </row>
    <row s="16563" customFormat="1" customHeight="1" ht="18.75" hidden="1">
      <c r="A30" s="1595"/>
      <c r="B30" s="1595"/>
      <c r="C30" s="1595"/>
      <c r="D30" s="1595"/>
      <c r="E30" s="1595"/>
      <c r="F30" s="1595"/>
      <c r="G30" s="1595"/>
      <c r="H30" s="1595"/>
      <c r="I30" s="1595"/>
      <c r="J30" s="1595"/>
      <c r="K30" s="1595"/>
      <c r="L30" s="1596"/>
      <c r="M30" s="1595"/>
      <c r="N30" s="1595"/>
      <c r="O30" s="1595"/>
      <c r="S30" s="2379" t="s">
        <v>39</v>
      </c>
      <c r="T30" s="2379"/>
      <c r="U30" s="1599"/>
      <c r="V30" s="2381" t="str">
        <f>IF(TITLE_IST_PUB_CHANGE="",IF(TITLE_IST_PUB="","",TITLE_IST_PUB),TITLE_IST_PUB_CHANGE)</f>
        <v/>
      </c>
      <c r="W30" s="2381"/>
      <c r="X30" s="2381"/>
      <c r="Y30" s="2381"/>
      <c r="Z30" s="2381"/>
      <c r="AA30" s="2381"/>
      <c r="AB30" s="548"/>
      <c r="AC30" s="2381" t="str">
        <f>IF(TITLE_IST_PUB_CHANGE="",IF(TITLE_IST_PUB="","",TITLE_IST_PUB),TITLE_IST_PUB_CHANGE)</f>
        <v/>
      </c>
      <c r="AD30" s="2381"/>
      <c r="AE30" s="2381"/>
      <c r="AF30" s="2381"/>
      <c r="AG30" s="2381"/>
      <c r="AH30" s="2381"/>
      <c r="AI30" s="548"/>
      <c r="AJ30" s="548"/>
      <c r="AK30" s="502"/>
      <c r="AL30" s="590"/>
      <c r="AM30" s="590"/>
      <c r="AN30" s="590"/>
      <c r="AO30" s="590"/>
      <c r="AP30" s="590"/>
    </row>
    <row customHeight="1" ht="14.25">
      <c r="Q31" s="598"/>
      <c r="R31" s="598"/>
      <c r="S31" s="1502"/>
      <c r="T31" s="585"/>
      <c r="U31" s="585"/>
      <c r="V31" s="544"/>
      <c r="W31" s="544"/>
      <c r="X31" s="544"/>
      <c r="Y31" s="544"/>
      <c r="Z31" s="544"/>
      <c r="AA31" s="544"/>
      <c r="AB31" s="544"/>
      <c r="AC31" s="544"/>
      <c r="AD31" s="544"/>
      <c r="AE31" s="544"/>
      <c r="AF31" s="544"/>
      <c r="AG31" s="544"/>
      <c r="AH31" s="544"/>
      <c r="AI31" s="544"/>
      <c r="AJ31" s="731"/>
    </row>
    <row s="16563" customFormat="1" customHeight="1" ht="18.75">
      <c r="A32" s="1595"/>
      <c r="B32" s="1595"/>
      <c r="C32" s="1595"/>
      <c r="D32" s="1595"/>
      <c r="E32" s="1595"/>
      <c r="F32" s="1595"/>
      <c r="G32" s="1595"/>
      <c r="H32" s="1595"/>
      <c r="I32" s="1595"/>
      <c r="J32" s="1595"/>
      <c r="K32" s="1595"/>
      <c r="L32" s="1596"/>
      <c r="M32" s="1595"/>
      <c r="N32" s="1595"/>
      <c r="O32" s="1595"/>
      <c r="S32" s="2379" t="s">
        <v>529</v>
      </c>
      <c r="T32" s="2379"/>
      <c r="U32" s="1599"/>
      <c r="V32" s="2380" t="str">
        <f>IF(TITLE_DATE_PR_CHANGE="",IF(TITLE_DATE_PR="","",TITLE_DATE_PR),TITLE_DATE_PR_CHANGE)</f>
        <v>45407.47206018519</v>
      </c>
      <c r="W32" s="2380"/>
      <c r="X32" s="2380"/>
      <c r="Y32" s="2380"/>
      <c r="Z32" s="2380"/>
      <c r="AA32" s="2380"/>
      <c r="AB32" s="548"/>
      <c r="AC32" s="2380" t="str">
        <f>IF(TITLE_DATE_PR_CHANGE="",IF(TITLE_DATE_PR="","",TITLE_DATE_PR),TITLE_DATE_PR_CHANGE)</f>
        <v>45407.47206018519</v>
      </c>
      <c r="AD32" s="2380"/>
      <c r="AE32" s="2380"/>
      <c r="AF32" s="2380"/>
      <c r="AG32" s="2380"/>
      <c r="AH32" s="2380"/>
      <c r="AI32" s="548"/>
      <c r="AJ32" s="548"/>
      <c r="AK32" s="502"/>
      <c r="AL32" s="590"/>
      <c r="AM32" s="590"/>
      <c r="AN32" s="590"/>
      <c r="AO32" s="590"/>
      <c r="AP32" s="590"/>
    </row>
    <row s="16563" customFormat="1" customHeight="1" ht="18.75">
      <c r="A33" s="1595"/>
      <c r="B33" s="1595"/>
      <c r="C33" s="1595"/>
      <c r="D33" s="1595"/>
      <c r="E33" s="1595"/>
      <c r="F33" s="1595"/>
      <c r="G33" s="1595"/>
      <c r="H33" s="1595"/>
      <c r="I33" s="1595"/>
      <c r="J33" s="1595"/>
      <c r="K33" s="1595"/>
      <c r="L33" s="1596"/>
      <c r="M33" s="1595"/>
      <c r="N33" s="1595"/>
      <c r="O33" s="1595"/>
      <c r="S33" s="2379" t="s">
        <v>530</v>
      </c>
      <c r="T33" s="2379"/>
      <c r="U33" s="1599"/>
      <c r="V33" s="2381" t="str">
        <f>IF(TITLE_NUMBER_PR_CHANGE="",IF(TITLE_NUMBER_PR="","",TITLE_NUMBER_PR),TITLE_NUMBER_PR_CHANGE)</f>
        <v>27-2067</v>
      </c>
      <c r="W33" s="2381"/>
      <c r="X33" s="2381"/>
      <c r="Y33" s="2381"/>
      <c r="Z33" s="2381"/>
      <c r="AA33" s="2381"/>
      <c r="AB33" s="548"/>
      <c r="AC33" s="2381" t="str">
        <f>IF(TITLE_NUMBER_PR_CHANGE="",IF(TITLE_NUMBER_PR="","",TITLE_NUMBER_PR),TITLE_NUMBER_PR_CHANGE)</f>
        <v>27-2067</v>
      </c>
      <c r="AD33" s="2381"/>
      <c r="AE33" s="2381"/>
      <c r="AF33" s="2381"/>
      <c r="AG33" s="2381"/>
      <c r="AH33" s="2381"/>
      <c r="AI33" s="548"/>
      <c r="AJ33" s="548"/>
      <c r="AK33" s="502"/>
      <c r="AL33" s="590"/>
      <c r="AM33" s="590"/>
      <c r="AN33" s="590"/>
      <c r="AO33" s="590"/>
      <c r="AP33" s="590"/>
    </row>
    <row s="16563" customFormat="1" customHeight="1" ht="0.75">
      <c r="A34" s="1595"/>
      <c r="B34" s="1595"/>
      <c r="C34" s="1595"/>
      <c r="D34" s="1595"/>
      <c r="E34" s="1595"/>
      <c r="F34" s="1595"/>
      <c r="G34" s="1595"/>
      <c r="H34" s="1595"/>
      <c r="I34" s="1595"/>
      <c r="J34" s="1595"/>
      <c r="K34" s="1595"/>
      <c r="L34" s="1596"/>
      <c r="M34" s="1595"/>
      <c r="N34" s="1595"/>
      <c r="O34" s="1595"/>
      <c r="S34" s="545"/>
      <c r="T34" s="545"/>
      <c r="U34" s="1582"/>
      <c r="V34" s="548"/>
      <c r="W34" s="548"/>
      <c r="X34" s="548"/>
      <c r="Y34" s="548"/>
      <c r="Z34" s="548"/>
      <c r="AA34" s="548"/>
      <c r="AB34" s="500" t="s">
        <v>531</v>
      </c>
      <c r="AC34" s="548"/>
      <c r="AD34" s="548"/>
      <c r="AE34" s="548"/>
      <c r="AF34" s="548"/>
      <c r="AG34" s="548"/>
      <c r="AH34" s="548"/>
      <c r="AI34" s="500" t="s">
        <v>531</v>
      </c>
      <c r="AL34" s="590"/>
      <c r="AM34" s="590"/>
      <c r="AN34" s="590"/>
      <c r="AO34" s="590"/>
      <c r="AP34" s="590"/>
    </row>
    <row customHeight="1" ht="14.25">
      <c r="Q35" s="598"/>
      <c r="R35" s="598"/>
      <c r="S35" s="1502"/>
      <c r="T35" s="585"/>
      <c r="U35" s="1470"/>
      <c r="V35" s="2405"/>
      <c r="W35" s="2405"/>
      <c r="X35" s="2405"/>
      <c r="Y35" s="2405"/>
      <c r="Z35" s="2405"/>
      <c r="AA35" s="2405"/>
      <c r="AB35" s="2405"/>
      <c r="AC35" s="2405"/>
      <c r="AD35" s="2405"/>
      <c r="AE35" s="2405"/>
      <c r="AF35" s="2405"/>
      <c r="AG35" s="2405"/>
      <c r="AH35" s="2405"/>
      <c r="AI35" s="2405"/>
    </row>
    <row customHeight="1" ht="14.25">
      <c r="Q36" s="598"/>
      <c r="R36" s="598"/>
      <c r="S36" s="2253" t="s">
        <v>406</v>
      </c>
      <c r="T36" s="2253"/>
      <c r="U36" s="2253"/>
      <c r="V36" s="2253"/>
      <c r="W36" s="2253"/>
      <c r="X36" s="2253"/>
      <c r="Y36" s="2253"/>
      <c r="Z36" s="2253"/>
      <c r="AA36" s="2253"/>
      <c r="AB36" s="2253"/>
      <c r="AC36" s="2253"/>
      <c r="AD36" s="2253"/>
      <c r="AE36" s="2253"/>
      <c r="AF36" s="2253"/>
      <c r="AG36" s="2253"/>
      <c r="AH36" s="2253"/>
      <c r="AI36" s="2253"/>
      <c r="AJ36" s="2253"/>
      <c r="AK36" s="2253" t="s">
        <v>407</v>
      </c>
    </row>
    <row customHeight="1" ht="14.25">
      <c r="Q37" s="598"/>
      <c r="R37" s="598"/>
      <c r="S37" s="2406" t="s">
        <v>84</v>
      </c>
      <c r="T37" s="2343" t="s">
        <v>532</v>
      </c>
      <c r="U37" s="523"/>
      <c r="V37" s="2407" t="s">
        <v>533</v>
      </c>
      <c r="W37" s="2408"/>
      <c r="X37" s="2408"/>
      <c r="Y37" s="2408"/>
      <c r="Z37" s="2408"/>
      <c r="AA37" s="2409"/>
      <c r="AB37" s="2410" t="s">
        <v>534</v>
      </c>
      <c r="AC37" s="2407" t="s">
        <v>533</v>
      </c>
      <c r="AD37" s="2408"/>
      <c r="AE37" s="2408"/>
      <c r="AF37" s="2408"/>
      <c r="AG37" s="2408"/>
      <c r="AH37" s="2409"/>
      <c r="AI37" s="2410" t="s">
        <v>535</v>
      </c>
      <c r="AJ37" s="2413" t="s">
        <v>536</v>
      </c>
      <c r="AK37" s="2253"/>
    </row>
    <row customHeight="1" ht="33.75">
      <c r="Q38" s="598"/>
      <c r="R38" s="598"/>
      <c r="S38" s="2406"/>
      <c r="T38" s="2343"/>
      <c r="U38" s="1254"/>
      <c r="V38" s="1579" t="s">
        <v>593</v>
      </c>
      <c r="W38" s="2399" t="s">
        <v>539</v>
      </c>
      <c r="X38" s="2401"/>
      <c r="Y38" s="2399" t="s">
        <v>540</v>
      </c>
      <c r="Z38" s="2400"/>
      <c r="AA38" s="2401"/>
      <c r="AB38" s="2411"/>
      <c r="AC38" s="1579" t="s">
        <v>593</v>
      </c>
      <c r="AD38" s="2399" t="s">
        <v>539</v>
      </c>
      <c r="AE38" s="2401"/>
      <c r="AF38" s="2399" t="s">
        <v>540</v>
      </c>
      <c r="AG38" s="2400"/>
      <c r="AH38" s="2401"/>
      <c r="AI38" s="2411"/>
      <c r="AJ38" s="2414"/>
      <c r="AK38" s="2253"/>
    </row>
    <row customHeight="1" ht="33.75">
      <c r="A39" s="1597"/>
      <c r="B39" s="1597" t="s">
        <v>191</v>
      </c>
      <c r="C39" s="1597" t="s">
        <v>192</v>
      </c>
      <c r="D39" s="1597" t="s">
        <v>193</v>
      </c>
      <c r="E39" s="1591" t="s">
        <v>541</v>
      </c>
      <c r="F39" s="1591" t="s">
        <v>542</v>
      </c>
      <c r="G39" s="1591" t="s">
        <v>543</v>
      </c>
      <c r="H39" s="1591"/>
      <c r="I39" s="1591" t="s">
        <v>594</v>
      </c>
      <c r="J39" s="1591" t="s">
        <v>546</v>
      </c>
      <c r="K39" s="1591" t="s">
        <v>595</v>
      </c>
      <c r="L39" s="1591" t="s">
        <v>522</v>
      </c>
      <c r="Q39" s="598"/>
      <c r="R39" s="598"/>
      <c r="S39" s="2406"/>
      <c r="T39" s="2343"/>
      <c r="U39" s="524"/>
      <c r="V39" s="1579" t="s">
        <v>596</v>
      </c>
      <c r="W39" s="1448" t="s">
        <v>597</v>
      </c>
      <c r="X39" s="1448" t="s">
        <v>598</v>
      </c>
      <c r="Y39" s="1584" t="s">
        <v>550</v>
      </c>
      <c r="Z39" s="2402" t="s">
        <v>551</v>
      </c>
      <c r="AA39" s="2403"/>
      <c r="AB39" s="2412"/>
      <c r="AC39" s="1579" t="s">
        <v>596</v>
      </c>
      <c r="AD39" s="1448" t="s">
        <v>597</v>
      </c>
      <c r="AE39" s="1448" t="s">
        <v>598</v>
      </c>
      <c r="AF39" s="1584" t="s">
        <v>550</v>
      </c>
      <c r="AG39" s="2402" t="s">
        <v>551</v>
      </c>
      <c r="AH39" s="2403"/>
      <c r="AI39" s="2412"/>
      <c r="AJ39" s="2415"/>
      <c r="AK39" s="2253"/>
    </row>
    <row s="16382" customFormat="1" customHeight="1" ht="11.25" hidden="1">
      <c r="A40" s="1597"/>
      <c r="B40" s="1597"/>
      <c r="C40" s="1597"/>
      <c r="D40" s="1597"/>
      <c r="E40" s="1597"/>
      <c r="F40" s="1597"/>
      <c r="G40" s="1597"/>
      <c r="H40" s="1597"/>
      <c r="I40" s="1597"/>
      <c r="J40" s="1597"/>
      <c r="K40" s="1597"/>
      <c r="L40" s="1591"/>
      <c r="M40" s="1589"/>
      <c r="N40" s="1589"/>
      <c r="O40" s="1589"/>
      <c r="P40" s="1472"/>
      <c r="Q40" s="1473"/>
      <c r="R40" s="1480">
        <v>1</v>
      </c>
      <c r="S40" s="1504" t="s">
        <v>168</v>
      </c>
      <c r="T40" s="1481" t="s">
        <v>99</v>
      </c>
      <c r="U40" s="1471" t="str">
        <f>OFFSET(U40,0,-1)</f>
        <v>2</v>
      </c>
      <c r="V40" s="1580">
        <f>OFFSET(V40,0,-1)+1</f>
        <v>3</v>
      </c>
      <c r="W40" s="1580">
        <f>OFFSET(W40,0,-1)+1</f>
        <v>4</v>
      </c>
      <c r="X40" s="1580">
        <f>OFFSET(X40,0,-1)+1</f>
        <v>5</v>
      </c>
      <c r="Y40" s="1580">
        <f>OFFSET(Y40,0,-1)+1</f>
        <v>6</v>
      </c>
      <c r="Z40" s="2404">
        <f>OFFSET(Z40,0,-1)+1</f>
        <v>7</v>
      </c>
      <c r="AA40" s="2404"/>
      <c r="AB40" s="1580">
        <f>OFFSET(AB40,0,-2)+1</f>
        <v>8</v>
      </c>
      <c r="AC40" s="1580">
        <f>OFFSET(AC40,0,-1)+1</f>
        <v>9</v>
      </c>
      <c r="AD40" s="1580">
        <f>OFFSET(AD40,0,-1)+1</f>
        <v>10</v>
      </c>
      <c r="AE40" s="1580">
        <f>OFFSET(AE40,0,-1)+1</f>
        <v>11</v>
      </c>
      <c r="AF40" s="1580">
        <f>OFFSET(AF40,0,-1)+1</f>
        <v>12</v>
      </c>
      <c r="AG40" s="2404">
        <f>OFFSET(AG40,0,-1)+1</f>
        <v>13</v>
      </c>
      <c r="AH40" s="2404"/>
      <c r="AI40" s="1580">
        <f>OFFSET(AI40,0,-2)+1</f>
        <v>14</v>
      </c>
      <c r="AJ40" s="1471">
        <f>OFFSET(AJ40,0,-1)</f>
        <v>14</v>
      </c>
      <c r="AK40" s="1580">
        <f>OFFSET(AK40,0,-1)+1</f>
        <v>15</v>
      </c>
      <c r="AL40" s="733"/>
      <c r="AM40" s="733"/>
      <c r="AN40" s="733"/>
      <c r="AO40" s="733"/>
      <c r="AP40" s="733"/>
    </row>
    <row customHeight="1" ht="23.25">
      <c r="A41" s="1590" t="s">
        <v>274</v>
      </c>
      <c r="B41" s="1590"/>
      <c r="C41" s="1590"/>
      <c r="D41" s="1590"/>
      <c r="E41" s="2388">
        <v>1</v>
      </c>
      <c r="F41" s="1590"/>
      <c r="G41" s="1590"/>
      <c r="H41" s="1590"/>
      <c r="I41" s="1590"/>
      <c r="J41" s="1590"/>
      <c r="K41" s="1590"/>
      <c r="L41" s="1591"/>
      <c r="M41" s="1592"/>
      <c r="N41" s="1592"/>
      <c r="O41" s="1592"/>
      <c r="P41" s="583"/>
      <c r="Q41" s="582"/>
      <c r="R41" s="577"/>
      <c r="S41" s="1585">
        <f>INDEX(PT_DIFFERENTIATION_NUM_NTAR,MATCH(A41,PT_DIFFERENTIATION_NTAR_ID,0))</f>
        <v>0</v>
      </c>
      <c r="T41" s="520" t="s">
        <v>179</v>
      </c>
      <c r="U41" s="522"/>
      <c r="V41" s="2382"/>
      <c r="W41" s="2383"/>
      <c r="X41" s="2383"/>
      <c r="Y41" s="2383"/>
      <c r="Z41" s="2383"/>
      <c r="AA41" s="2383"/>
      <c r="AB41" s="2384"/>
      <c r="AC41" s="2382" t="str">
        <f>INDEX(PT_DIFFERENTIATION_NTAR,MATCH(A41,PT_DIFFERENTIATION_NTAR_ID,0))</f>
        <v/>
      </c>
      <c r="AD41" s="2383"/>
      <c r="AE41" s="2383"/>
      <c r="AF41" s="2383"/>
      <c r="AG41" s="2383"/>
      <c r="AH41" s="2383"/>
      <c r="AI41" s="2383"/>
      <c r="AJ41" s="2384"/>
      <c r="AK41" s="14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2"/>
      <c r="AN41" s="722" t="str">
        <f>IF(T41="","",T41)</f>
        <v>Наименование тарифа</v>
      </c>
      <c r="AO41" s="722"/>
      <c r="AP41" s="722"/>
    </row>
    <row customHeight="1" ht="23.25">
      <c r="A42" s="1590" t="s">
        <v>274</v>
      </c>
      <c r="B42" s="1590" t="s">
        <v>275</v>
      </c>
      <c r="C42" s="1590"/>
      <c r="D42" s="1590"/>
      <c r="E42" s="2389"/>
      <c r="F42" s="2388">
        <v>1</v>
      </c>
      <c r="G42" s="1590"/>
      <c r="H42" s="1590"/>
      <c r="I42" s="1590"/>
      <c r="J42" s="1590"/>
      <c r="K42" s="1590"/>
      <c r="L42" s="1591"/>
      <c r="M42" s="1592"/>
      <c r="N42" s="1592"/>
      <c r="O42" s="1592"/>
      <c r="P42" s="1583"/>
      <c r="Q42" s="574"/>
      <c r="R42" s="575"/>
      <c r="S42" s="1585" t="str">
        <f>INDEX(PT_DIFFERENTIATION_NUM_TER,MATCH(B42,PT_DIFFERENTIATION_TER_ID,0))</f>
        <v>.</v>
      </c>
      <c r="T42" s="530" t="s">
        <v>503</v>
      </c>
      <c r="U42" s="522"/>
      <c r="V42" s="2382"/>
      <c r="W42" s="2383"/>
      <c r="X42" s="2383"/>
      <c r="Y42" s="2383"/>
      <c r="Z42" s="2383"/>
      <c r="AA42" s="2383"/>
      <c r="AB42" s="2384"/>
      <c r="AC42" s="2382" t="str">
        <f>INDEX(PT_DIFFERENTIATION_TER,MATCH(B42,PT_DIFFERENTIATION_TER_ID,0))</f>
        <v/>
      </c>
      <c r="AD42" s="2383"/>
      <c r="AE42" s="2383"/>
      <c r="AF42" s="2383"/>
      <c r="AG42" s="2383"/>
      <c r="AH42" s="2383"/>
      <c r="AI42" s="2383"/>
      <c r="AJ42" s="2384"/>
      <c r="AK42" s="1484" t="s">
        <v>504</v>
      </c>
      <c r="AM42" s="722"/>
      <c r="AN42" s="722" t="str">
        <f>IF(T42="","",T42)</f>
        <v>Территория действия тарифа</v>
      </c>
      <c r="AO42" s="722"/>
      <c r="AP42" s="722"/>
    </row>
    <row customHeight="1" ht="23.25">
      <c r="A43" s="1590" t="s">
        <v>274</v>
      </c>
      <c r="B43" s="1590" t="s">
        <v>275</v>
      </c>
      <c r="C43" s="1590" t="s">
        <v>276</v>
      </c>
      <c r="D43" s="1590"/>
      <c r="E43" s="2389"/>
      <c r="F43" s="2389"/>
      <c r="G43" s="2388">
        <v>1</v>
      </c>
      <c r="H43" s="1590"/>
      <c r="I43" s="1590"/>
      <c r="J43" s="1590"/>
      <c r="K43" s="1590"/>
      <c r="L43" s="1591"/>
      <c r="M43" s="1592"/>
      <c r="N43" s="1592"/>
      <c r="O43" s="1592"/>
      <c r="P43" s="576"/>
      <c r="Q43" s="574"/>
      <c r="R43" s="575"/>
      <c r="S43" s="1585" t="str">
        <f>INDEX(PT_DIFFERENTIATION_NUM_CS,MATCH(C43,PT_DIFFERENTIATION_CS_ID,0))</f>
        <v>..</v>
      </c>
      <c r="T43" s="531" t="s">
        <v>585</v>
      </c>
      <c r="U43" s="522"/>
      <c r="V43" s="2382"/>
      <c r="W43" s="2383"/>
      <c r="X43" s="2383"/>
      <c r="Y43" s="2383"/>
      <c r="Z43" s="2383"/>
      <c r="AA43" s="2383"/>
      <c r="AB43" s="2384"/>
      <c r="AC43" s="2382" t="str">
        <f>INDEX(PT_DIFFERENTIATION_CS,MATCH(C43,PT_DIFFERENTIATION_CS_ID,0))</f>
        <v/>
      </c>
      <c r="AD43" s="2383"/>
      <c r="AE43" s="2383"/>
      <c r="AF43" s="2383"/>
      <c r="AG43" s="2383"/>
      <c r="AH43" s="2383"/>
      <c r="AI43" s="2383"/>
      <c r="AJ43" s="2384"/>
      <c r="AK43" s="1484" t="s">
        <v>586</v>
      </c>
      <c r="AM43" s="722"/>
      <c r="AN43" s="722" t="str">
        <f>IF(T43="","",T43)</f>
        <v>Наименование централизованной системы холодного водоснабжения</v>
      </c>
      <c r="AO43" s="722"/>
      <c r="AP43" s="722"/>
    </row>
    <row customHeight="1" ht="23.25">
      <c r="A44" s="1590" t="s">
        <v>274</v>
      </c>
      <c r="B44" s="1590" t="s">
        <v>275</v>
      </c>
      <c r="C44" s="1590" t="s">
        <v>276</v>
      </c>
      <c r="D44" s="1590" t="s">
        <v>599</v>
      </c>
      <c r="E44" s="2389"/>
      <c r="F44" s="2389"/>
      <c r="G44" s="2389"/>
      <c r="H44" s="2389"/>
      <c r="I44" s="2390" t="str">
        <f>S43&amp;".1"</f>
        <v>...1</v>
      </c>
      <c r="J44" s="1590"/>
      <c r="K44" s="1590"/>
      <c r="L44" s="1591"/>
      <c r="P44" s="2392">
        <v>1</v>
      </c>
      <c r="Q44" s="1581"/>
      <c r="R44" s="578"/>
      <c r="S44" s="1585" t="str">
        <f>$I44</f>
        <v>...1</v>
      </c>
      <c r="T44" s="507" t="s">
        <v>587</v>
      </c>
      <c r="U44" s="522"/>
      <c r="V44" s="2475"/>
      <c r="W44" s="2476"/>
      <c r="X44" s="2476"/>
      <c r="Y44" s="2476"/>
      <c r="Z44" s="2476"/>
      <c r="AA44" s="2476"/>
      <c r="AB44" s="2477"/>
      <c r="AC44" s="2478"/>
      <c r="AD44" s="2479"/>
      <c r="AE44" s="2479"/>
      <c r="AF44" s="2479"/>
      <c r="AG44" s="2479"/>
      <c r="AH44" s="2479"/>
      <c r="AI44" s="2479"/>
      <c r="AJ44" s="2480"/>
      <c r="AK44" s="1484" t="s">
        <v>588</v>
      </c>
      <c r="AM44" s="722"/>
      <c r="AN44" s="722" t="str">
        <f>IF(T44="","",T44)</f>
        <v>Наименование признака дифференциации</v>
      </c>
      <c r="AO44" s="722"/>
      <c r="AP44" s="722"/>
    </row>
    <row customHeight="1" ht="23.25">
      <c r="A45" s="1590" t="s">
        <v>274</v>
      </c>
      <c r="B45" s="1590" t="s">
        <v>275</v>
      </c>
      <c r="C45" s="1590" t="s">
        <v>276</v>
      </c>
      <c r="D45" s="1590" t="s">
        <v>599</v>
      </c>
      <c r="E45" s="2389"/>
      <c r="F45" s="2389"/>
      <c r="G45" s="2389"/>
      <c r="H45" s="2389"/>
      <c r="I45" s="2391"/>
      <c r="J45" s="2390" t="str">
        <f>I44&amp;".1"</f>
        <v>...1.1</v>
      </c>
      <c r="K45" s="1590"/>
      <c r="L45" s="1591" t="s">
        <v>512</v>
      </c>
      <c r="P45" s="2392"/>
      <c r="Q45" s="2392">
        <v>1</v>
      </c>
      <c r="R45" s="579"/>
      <c r="S45" s="1585" t="str">
        <f>$J45</f>
        <v>...1.1</v>
      </c>
      <c r="T45" s="508" t="s">
        <v>513</v>
      </c>
      <c r="U45" s="522"/>
      <c r="V45" s="2376"/>
      <c r="W45" s="2377"/>
      <c r="X45" s="2377"/>
      <c r="Y45" s="2377"/>
      <c r="Z45" s="2377"/>
      <c r="AA45" s="2377"/>
      <c r="AB45" s="2378"/>
      <c r="AC45" s="2376"/>
      <c r="AD45" s="2377"/>
      <c r="AE45" s="2377"/>
      <c r="AF45" s="2377"/>
      <c r="AG45" s="2377"/>
      <c r="AH45" s="2377"/>
      <c r="AI45" s="2377"/>
      <c r="AJ45" s="2378"/>
      <c r="AK45" s="1534" t="s">
        <v>589</v>
      </c>
      <c r="AM45" s="722"/>
      <c r="AN45" s="722" t="str">
        <f>IF(T45="","",T45)</f>
        <v>Группа потребителей</v>
      </c>
      <c r="AO45" s="722"/>
      <c r="AP45" s="722"/>
    </row>
    <row customHeight="1" ht="23.25">
      <c r="A46" s="1590" t="s">
        <v>274</v>
      </c>
      <c r="B46" s="1590" t="s">
        <v>275</v>
      </c>
      <c r="C46" s="1590" t="s">
        <v>276</v>
      </c>
      <c r="D46" s="1590" t="s">
        <v>599</v>
      </c>
      <c r="E46" s="2389"/>
      <c r="F46" s="2389"/>
      <c r="G46" s="2389"/>
      <c r="H46" s="2389"/>
      <c r="I46" s="2391"/>
      <c r="J46" s="2391"/>
      <c r="K46" s="2390" t="str">
        <f>J45&amp;".1"</f>
        <v>...1.1.1</v>
      </c>
      <c r="L46" s="1591"/>
      <c r="P46" s="2392"/>
      <c r="Q46" s="2392"/>
      <c r="R46" s="579">
        <v>1</v>
      </c>
      <c r="S46" s="1585" t="str">
        <f>$K46</f>
        <v>...1.1.1</v>
      </c>
      <c r="T46" s="1664"/>
      <c r="U46" s="522"/>
      <c r="V46" s="1587"/>
      <c r="W46" s="1587"/>
      <c r="X46" s="1588"/>
      <c r="Y46" s="2386"/>
      <c r="Z46" s="2385" t="s">
        <v>63</v>
      </c>
      <c r="AA46" s="2386"/>
      <c r="AB46" s="2385" t="s">
        <v>63</v>
      </c>
      <c r="AC46" s="973"/>
      <c r="AD46" s="973"/>
      <c r="AE46" s="1483"/>
      <c r="AF46" s="2393"/>
      <c r="AG46" s="2263" t="s">
        <v>63</v>
      </c>
      <c r="AH46" s="2395"/>
      <c r="AI46" s="2263" t="s">
        <v>53</v>
      </c>
      <c r="AJ46" s="1665"/>
      <c r="AK46" s="24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3">
        <f>STRCHECKDATE(V47:AJ47)</f>
      </c>
      <c r="AM46" s="722"/>
      <c r="AN46" s="722" t="str">
        <f>IF(T46="","",T46)</f>
        <v/>
      </c>
      <c r="AO46" s="722"/>
      <c r="AP46" s="722"/>
    </row>
    <row customHeight="1" ht="0">
      <c r="A47" s="1590" t="s">
        <v>274</v>
      </c>
      <c r="B47" s="1590" t="s">
        <v>275</v>
      </c>
      <c r="C47" s="1590" t="s">
        <v>276</v>
      </c>
      <c r="D47" s="1590" t="s">
        <v>599</v>
      </c>
      <c r="E47" s="2389"/>
      <c r="F47" s="2389"/>
      <c r="G47" s="2389"/>
      <c r="H47" s="2389"/>
      <c r="I47" s="2391"/>
      <c r="J47" s="2391"/>
      <c r="K47" s="2390"/>
      <c r="L47" s="1591"/>
      <c r="P47" s="2392"/>
      <c r="Q47" s="2392"/>
      <c r="R47" s="579"/>
      <c r="S47" s="1586"/>
      <c r="T47" s="522"/>
      <c r="U47" s="522"/>
      <c r="V47" s="1587"/>
      <c r="W47" s="1587"/>
      <c r="X47" s="550" t="str">
        <f>Y46&amp;"-"&amp;AA46</f>
        <v>-</v>
      </c>
      <c r="Y47" s="2385"/>
      <c r="Z47" s="2385"/>
      <c r="AA47" s="2385"/>
      <c r="AB47" s="2385"/>
      <c r="AC47" s="547"/>
      <c r="AD47" s="547"/>
      <c r="AE47" s="550" t="str">
        <f>AF46&amp;"-"&amp;AH46</f>
        <v>-</v>
      </c>
      <c r="AF47" s="2394"/>
      <c r="AG47" s="2263"/>
      <c r="AH47" s="2396"/>
      <c r="AI47" s="2263"/>
      <c r="AJ47" s="1666"/>
      <c r="AK47" s="2481"/>
      <c r="AM47" s="722"/>
      <c r="AN47" s="722" t="str">
        <f>IF(T47="","",T47)</f>
        <v/>
      </c>
      <c r="AO47" s="722"/>
      <c r="AP47" s="722"/>
    </row>
    <row customHeight="1" ht="21">
      <c r="A48" s="1590" t="s">
        <v>274</v>
      </c>
      <c r="B48" s="1590" t="s">
        <v>275</v>
      </c>
      <c r="C48" s="1590" t="s">
        <v>276</v>
      </c>
      <c r="D48" s="1590" t="s">
        <v>599</v>
      </c>
      <c r="E48" s="2389"/>
      <c r="F48" s="2389"/>
      <c r="G48" s="2389"/>
      <c r="H48" s="2389"/>
      <c r="I48" s="2391"/>
      <c r="J48" s="2390"/>
      <c r="K48" s="1590"/>
      <c r="L48" s="1591"/>
      <c r="P48" s="2392"/>
      <c r="Q48" s="2392"/>
      <c r="R48" s="578"/>
      <c r="S48" s="1505"/>
      <c r="T48" s="509" t="s">
        <v>590</v>
      </c>
      <c r="U48" s="589"/>
      <c r="V48" s="589"/>
      <c r="W48" s="589"/>
      <c r="X48" s="589"/>
      <c r="Y48" s="589"/>
      <c r="Z48" s="589"/>
      <c r="AA48" s="589"/>
      <c r="AB48" s="589"/>
      <c r="AC48" s="589"/>
      <c r="AD48" s="589"/>
      <c r="AE48" s="589"/>
      <c r="AF48" s="589"/>
      <c r="AG48" s="589"/>
      <c r="AH48" s="589"/>
      <c r="AI48" s="589"/>
      <c r="AJ48" s="589"/>
      <c r="AK48" s="1484" t="s">
        <v>591</v>
      </c>
      <c r="AM48" s="722"/>
      <c r="AN48" s="722" t="str">
        <f>IF(T48="","",T48)</f>
        <v>Добавить значение признака дифференциации</v>
      </c>
      <c r="AO48" s="722"/>
      <c r="AP48" s="722"/>
    </row>
    <row customHeight="1" ht="21">
      <c r="A49" s="1590" t="s">
        <v>274</v>
      </c>
      <c r="B49" s="1590" t="s">
        <v>275</v>
      </c>
      <c r="C49" s="1590" t="s">
        <v>276</v>
      </c>
      <c r="D49" s="1590" t="s">
        <v>599</v>
      </c>
      <c r="E49" s="2389"/>
      <c r="F49" s="2389"/>
      <c r="G49" s="2389"/>
      <c r="H49" s="2389"/>
      <c r="I49" s="2390"/>
      <c r="J49" s="1590"/>
      <c r="K49" s="1590"/>
      <c r="L49" s="1591"/>
      <c r="P49" s="2392"/>
      <c r="Q49" s="1581"/>
      <c r="R49" s="578"/>
      <c r="S49" s="1505"/>
      <c r="T49" s="587" t="s">
        <v>518</v>
      </c>
      <c r="U49" s="589"/>
      <c r="V49" s="589"/>
      <c r="W49" s="589"/>
      <c r="X49" s="589"/>
      <c r="Y49" s="589"/>
      <c r="Z49" s="589"/>
      <c r="AA49" s="589"/>
      <c r="AB49" s="588"/>
      <c r="AC49" s="589"/>
      <c r="AD49" s="589"/>
      <c r="AE49" s="589"/>
      <c r="AF49" s="589"/>
      <c r="AG49" s="589"/>
      <c r="AH49" s="589"/>
      <c r="AI49" s="588"/>
      <c r="AJ49" s="589"/>
      <c r="AK49" s="1667"/>
      <c r="AM49" s="722"/>
      <c r="AN49" s="722" t="str">
        <f>IF(T49="","",T49)</f>
        <v>Добавить группу потребителей</v>
      </c>
      <c r="AO49" s="722"/>
      <c r="AP49" s="722"/>
    </row>
    <row customHeight="1" ht="21">
      <c r="A50" s="1590" t="s">
        <v>274</v>
      </c>
      <c r="B50" s="1590" t="s">
        <v>275</v>
      </c>
      <c r="C50" s="1590" t="s">
        <v>276</v>
      </c>
      <c r="D50" s="1590" t="s">
        <v>599</v>
      </c>
      <c r="E50" s="2389"/>
      <c r="F50" s="2389"/>
      <c r="G50" s="2389"/>
      <c r="H50" s="2388"/>
      <c r="I50" s="1590"/>
      <c r="J50" s="1590"/>
      <c r="K50" s="1590"/>
      <c r="L50" s="1591"/>
      <c r="M50" s="1592"/>
      <c r="N50" s="1592"/>
      <c r="O50" s="759"/>
      <c r="P50" s="582"/>
      <c r="Q50" s="597"/>
      <c r="R50" s="577"/>
      <c r="S50" s="1505"/>
      <c r="T50" s="594" t="s">
        <v>592</v>
      </c>
      <c r="U50" s="589"/>
      <c r="V50" s="589"/>
      <c r="W50" s="589"/>
      <c r="X50" s="589"/>
      <c r="Y50" s="589"/>
      <c r="Z50" s="589"/>
      <c r="AA50" s="589"/>
      <c r="AB50" s="588"/>
      <c r="AC50" s="589"/>
      <c r="AD50" s="589"/>
      <c r="AE50" s="589"/>
      <c r="AF50" s="589"/>
      <c r="AG50" s="589"/>
      <c r="AH50" s="589"/>
      <c r="AI50" s="588"/>
      <c r="AJ50" s="589"/>
      <c r="AK50" s="525"/>
      <c r="AM50" s="722"/>
      <c r="AN50" s="722" t="str">
        <f>IF(T50="","",T50)</f>
        <v>Добавить наименование признака дифференциации</v>
      </c>
      <c r="AO50" s="722"/>
      <c r="AP50" s="722"/>
    </row>
    <row s="16531" customFormat="1" customHeight="1" ht="0">
      <c r="A51" s="1570" t="s">
        <v>274</v>
      </c>
      <c r="B51" s="1570" t="s">
        <v>275</v>
      </c>
      <c r="C51" s="1541"/>
      <c r="D51" s="1541"/>
      <c r="E51" s="2389"/>
      <c r="F51" s="2388"/>
      <c r="G51" s="1541"/>
      <c r="H51" s="1541"/>
      <c r="I51" s="1541"/>
      <c r="J51" s="1541"/>
      <c r="K51" s="1541"/>
      <c r="L51" s="1653"/>
      <c r="M51" s="1548"/>
      <c r="N51" s="1548"/>
      <c r="P51" s="1543"/>
      <c r="Q51" s="1544"/>
      <c r="R51" s="1543"/>
      <c r="S51" s="1549"/>
      <c r="T51" s="1552" t="s">
        <v>305</v>
      </c>
      <c r="U51" s="1551"/>
      <c r="V51" s="1551"/>
      <c r="W51" s="1551"/>
      <c r="X51" s="1551"/>
      <c r="Y51" s="1551"/>
      <c r="Z51" s="1551"/>
      <c r="AA51" s="1551"/>
      <c r="AB51" s="1551"/>
      <c r="AC51" s="1551"/>
      <c r="AD51" s="1551"/>
      <c r="AE51" s="1551"/>
      <c r="AF51" s="1551"/>
      <c r="AG51" s="1551"/>
      <c r="AH51" s="1551"/>
      <c r="AI51" s="1551"/>
      <c r="AJ51" s="1551"/>
      <c r="AK51" s="1551"/>
      <c r="AM51" s="1011"/>
      <c r="AN51" s="1011" t="str">
        <f>IF(T51="","",T51)</f>
        <v>Добавить централизованную систему для дифференциации</v>
      </c>
      <c r="AO51" s="1011"/>
      <c r="AP51" s="1011"/>
    </row>
    <row s="16622" customFormat="1" customHeight="1" ht="0">
      <c r="A52" s="1570" t="s">
        <v>274</v>
      </c>
      <c r="B52" s="1570"/>
      <c r="C52" s="1570"/>
      <c r="D52" s="1570"/>
      <c r="E52" s="2388"/>
      <c r="F52" s="1570"/>
      <c r="G52" s="1570"/>
      <c r="H52" s="1570"/>
      <c r="I52" s="1570"/>
      <c r="J52" s="1570"/>
      <c r="K52" s="1570"/>
      <c r="L52" s="1573"/>
      <c r="M52" s="1548"/>
      <c r="N52" s="1548"/>
      <c r="O52" s="740"/>
      <c r="P52" s="602"/>
      <c r="Q52" s="1571"/>
      <c r="R52" s="602"/>
      <c r="S52" s="1549"/>
      <c r="T52" s="1552" t="s">
        <v>358</v>
      </c>
      <c r="U52" s="1551"/>
      <c r="V52" s="1551"/>
      <c r="W52" s="1551"/>
      <c r="X52" s="1551"/>
      <c r="Y52" s="1551"/>
      <c r="Z52" s="1551"/>
      <c r="AA52" s="1551"/>
      <c r="AB52" s="1551"/>
      <c r="AC52" s="1551"/>
      <c r="AD52" s="1551"/>
      <c r="AE52" s="1551"/>
      <c r="AF52" s="1551"/>
      <c r="AG52" s="1551"/>
      <c r="AH52" s="1551"/>
      <c r="AI52" s="1551"/>
      <c r="AJ52" s="1551"/>
      <c r="AK52" s="1551"/>
      <c r="AM52" s="722"/>
      <c r="AN52" s="722" t="str">
        <f>IF(T52="","",T52)</f>
        <v>Добавить территорию для дифференциации</v>
      </c>
      <c r="AO52" s="722"/>
      <c r="AP52" s="722"/>
    </row>
    <row s="16531" customFormat="1" customHeight="1" ht="0">
      <c r="A53" s="1541"/>
      <c r="B53" s="1541"/>
      <c r="C53" s="1541"/>
      <c r="D53" s="1541"/>
      <c r="E53" s="1570"/>
      <c r="F53" s="1541"/>
      <c r="G53" s="1541"/>
      <c r="H53" s="1541"/>
      <c r="I53" s="1541"/>
      <c r="J53" s="1541"/>
      <c r="K53" s="1541"/>
      <c r="L53" s="1653"/>
      <c r="M53" s="1548"/>
      <c r="N53" s="1548"/>
      <c r="P53" s="1543"/>
      <c r="Q53" s="1544"/>
      <c r="R53" s="1543"/>
      <c r="S53" s="1549"/>
      <c r="T53" s="1552" t="s">
        <v>359</v>
      </c>
      <c r="U53" s="1551"/>
      <c r="V53" s="1551"/>
      <c r="W53" s="1551"/>
      <c r="X53" s="1551"/>
      <c r="Y53" s="1551"/>
      <c r="Z53" s="1551"/>
      <c r="AA53" s="1551"/>
      <c r="AB53" s="1551"/>
      <c r="AC53" s="1551"/>
      <c r="AD53" s="1551"/>
      <c r="AE53" s="1551"/>
      <c r="AF53" s="1551"/>
      <c r="AG53" s="1551"/>
      <c r="AH53" s="1551"/>
      <c r="AI53" s="1551"/>
      <c r="AJ53" s="1551"/>
      <c r="AK53" s="1551"/>
      <c r="AM53" s="1011"/>
      <c r="AN53" s="1011" t="str">
        <f>IF(T53="","",T53)</f>
        <v>Добавить наименование тарифа</v>
      </c>
      <c r="AO53" s="1011"/>
      <c r="AP53" s="1011"/>
    </row>
    <row customHeight="1" ht="11.25">
      <c r="M54" s="1384"/>
      <c r="N54" s="1384"/>
      <c r="O54" s="759"/>
      <c r="P54" s="1379"/>
      <c r="Q54" s="1379"/>
      <c r="R54" s="1379"/>
      <c r="S54" s="1379"/>
      <c r="AL54" s="1379"/>
      <c r="AM54" s="1379"/>
      <c r="AN54" s="1379"/>
      <c r="AO54" s="1379"/>
      <c r="AP54" s="1379"/>
    </row>
    <row customHeight="1" ht="14.25">
      <c r="O55" s="759"/>
      <c r="S55" s="1479"/>
      <c r="T55" s="2387"/>
      <c r="U55" s="2387"/>
      <c r="V55" s="2387"/>
      <c r="W55" s="2387"/>
      <c r="X55" s="2387"/>
      <c r="Y55" s="2387"/>
      <c r="Z55" s="2387"/>
      <c r="AA55" s="2387"/>
      <c r="AB55" s="2387"/>
      <c r="AC55" s="2387"/>
      <c r="AD55" s="2387"/>
      <c r="AE55" s="2387"/>
      <c r="AF55" s="2387"/>
      <c r="AG55" s="2387"/>
      <c r="AH55" s="2387"/>
      <c r="AI55" s="2387"/>
      <c r="AJ55" s="2387"/>
      <c r="AK55" s="2387"/>
    </row>
    <row customHeight="1" ht="14.25">
      <c r="O56" s="759"/>
    </row>
    <row customHeight="1" ht="14.25">
      <c r="O57" s="759"/>
      <c r="S57" s="1479"/>
      <c r="T57" s="2387"/>
      <c r="U57" s="2387"/>
      <c r="V57" s="2387"/>
      <c r="W57" s="2387"/>
      <c r="X57" s="2387"/>
      <c r="Y57" s="2387"/>
      <c r="Z57" s="2387"/>
      <c r="AA57" s="2387"/>
      <c r="AB57" s="2387"/>
      <c r="AC57" s="2387"/>
      <c r="AD57" s="2387"/>
      <c r="AE57" s="2387"/>
      <c r="AF57" s="2387"/>
      <c r="AG57" s="2387"/>
      <c r="AH57" s="2387"/>
      <c r="AI57" s="2387"/>
      <c r="AJ57" s="2387"/>
      <c r="AK57" s="2387"/>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E5A9D8-2706-BE06-ED0C-CF77C28842D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6550" width="10.57421875" hidden="1"/>
    <col min="2" max="2" style="16550" width="11.00390625" hidden="1" customWidth="1"/>
    <col min="3" max="3" style="16550" width="10.57421875" hidden="1"/>
    <col min="4" max="4" style="16550" width="11.8515625" hidden="1" customWidth="1"/>
    <col min="5" max="5" style="16550" width="10.00390625" hidden="1" customWidth="1"/>
    <col min="6" max="6" style="16550" width="8.7109375" hidden="1" customWidth="1"/>
    <col min="7" max="7" style="16550" width="7.57421875" hidden="1" customWidth="1"/>
    <col min="8" max="8" style="16550" width="11.421875" hidden="1" customWidth="1"/>
    <col min="9" max="9" style="16550" width="14.140625" hidden="1" customWidth="1"/>
    <col min="10" max="10" style="16550" width="9.8515625" hidden="1" customWidth="1"/>
    <col min="11" max="11" style="16550" width="14.7109375" hidden="1" customWidth="1"/>
    <col min="12" max="12" style="16843" width="19.140625" hidden="1" customWidth="1"/>
    <col min="13" max="14" style="16631" width="12.28125" hidden="1" customWidth="1"/>
    <col min="15" max="15" style="16631" width="23.421875" hidden="1" customWidth="1"/>
    <col min="16" max="16" style="16844" width="3.7109375" customWidth="1"/>
    <col min="17" max="18" style="16633" width="3.7109375" customWidth="1"/>
    <col min="19" max="19" style="16634" width="12.7109375" customWidth="1"/>
    <col min="20" max="20" style="16635" width="35.7109375" customWidth="1"/>
    <col min="21" max="21" style="16635" width="0.140625" customWidth="1"/>
    <col min="22" max="24" style="16635" width="24.7109375" hidden="1" customWidth="1"/>
    <col min="25" max="25" style="16635" width="11.7109375" hidden="1" customWidth="1"/>
    <col min="26" max="26" style="16635" width="3.7109375" hidden="1" customWidth="1"/>
    <col min="27" max="27" style="16635" width="11.7109375" hidden="1" customWidth="1"/>
    <col min="28" max="28" style="16635" width="8.57421875" hidden="1" customWidth="1"/>
    <col min="29" max="31" style="16635" width="24.7109375" customWidth="1"/>
    <col min="32" max="32" style="16635" width="11.7109375" customWidth="1"/>
    <col min="33" max="33" style="16635" width="3.7109375" customWidth="1"/>
    <col min="34" max="34" style="16635" width="11.7109375" customWidth="1"/>
    <col min="35" max="35" style="16635" width="8.57421875" hidden="1" customWidth="1"/>
    <col min="36" max="36" style="16635" width="4.7109375" customWidth="1"/>
    <col min="37" max="37" style="16635" width="115.7109375" customWidth="1"/>
    <col min="38" max="39" style="16622" width="10.57421875"/>
    <col min="40" max="40" style="16622" width="11.140625" customWidth="1"/>
    <col min="41" max="42" style="16622" width="10.57421875"/>
  </cols>
  <sheetData>
    <row customHeight="1" ht="14.25" hidden="1">
      <c r="X1" s="549"/>
      <c r="Y1" s="549"/>
      <c r="AE1" s="549"/>
      <c r="AF1" s="549"/>
    </row>
    <row customHeight="1" ht="23.25" hidden="1">
      <c r="A2" s="1590"/>
      <c r="B2" s="1590"/>
      <c r="C2" s="1590"/>
      <c r="D2" s="1590"/>
      <c r="E2" s="2388">
        <v>1</v>
      </c>
      <c r="F2" s="1590"/>
      <c r="G2" s="1590"/>
      <c r="H2" s="1590"/>
      <c r="I2" s="1590"/>
      <c r="J2" s="1590"/>
      <c r="K2" s="1590"/>
      <c r="L2" s="1591"/>
      <c r="M2" s="1592"/>
      <c r="N2" s="1592"/>
      <c r="O2" s="1592"/>
      <c r="P2" s="583"/>
      <c r="Q2" s="582"/>
      <c r="R2" s="577"/>
      <c r="S2" s="1684">
        <f>INDEX(PT_DIFFERENTIATION_NUM_NTAR,MATCH(A2,PT_DIFFERENTIATION_NTAR_ID,0))</f>
      </c>
      <c r="T2" s="520" t="s">
        <v>179</v>
      </c>
      <c r="U2" s="522"/>
      <c r="V2" s="2382"/>
      <c r="W2" s="2383"/>
      <c r="X2" s="2383"/>
      <c r="Y2" s="2383"/>
      <c r="Z2" s="2383"/>
      <c r="AA2" s="2383"/>
      <c r="AB2" s="2384"/>
      <c r="AC2" s="2382">
        <f>INDEX(PT_DIFFERENTIATION_NTAR,MATCH(A2,PT_DIFFERENTIATION_NTAR_ID,0))</f>
      </c>
      <c r="AD2" s="2383"/>
      <c r="AE2" s="2383"/>
      <c r="AF2" s="2383"/>
      <c r="AG2" s="2383"/>
      <c r="AH2" s="2383"/>
      <c r="AI2" s="2383"/>
      <c r="AJ2" s="2384"/>
      <c r="AK2" s="14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2"/>
      <c r="AN2" s="722" t="str">
        <f>IF(T2="","",T2)</f>
        <v>Наименование тарифа</v>
      </c>
      <c r="AO2" s="722"/>
      <c r="AP2" s="722"/>
    </row>
    <row customHeight="1" ht="23.25" hidden="1">
      <c r="A3" s="1590"/>
      <c r="B3" s="1590"/>
      <c r="C3" s="1590"/>
      <c r="D3" s="1590"/>
      <c r="E3" s="2389"/>
      <c r="F3" s="2388">
        <v>1</v>
      </c>
      <c r="G3" s="1590"/>
      <c r="H3" s="1590"/>
      <c r="I3" s="1590"/>
      <c r="J3" s="1590"/>
      <c r="K3" s="1590"/>
      <c r="L3" s="1591"/>
      <c r="M3" s="1592"/>
      <c r="N3" s="1592"/>
      <c r="O3" s="1592"/>
      <c r="P3" s="1680"/>
      <c r="Q3" s="574"/>
      <c r="R3" s="575"/>
      <c r="S3" s="1684">
        <f>INDEX(PT_DIFFERENTIATION_NUM_TER,MATCH(B3,PT_DIFFERENTIATION_TER_ID,0))</f>
      </c>
      <c r="T3" s="530" t="s">
        <v>503</v>
      </c>
      <c r="U3" s="522"/>
      <c r="V3" s="2382"/>
      <c r="W3" s="2383"/>
      <c r="X3" s="2383"/>
      <c r="Y3" s="2383"/>
      <c r="Z3" s="2383"/>
      <c r="AA3" s="2383"/>
      <c r="AB3" s="2384"/>
      <c r="AC3" s="2382">
        <f>INDEX(PT_DIFFERENTIATION_TER,MATCH(B3,PT_DIFFERENTIATION_TER_ID,0))</f>
      </c>
      <c r="AD3" s="2383"/>
      <c r="AE3" s="2383"/>
      <c r="AF3" s="2383"/>
      <c r="AG3" s="2383"/>
      <c r="AH3" s="2383"/>
      <c r="AI3" s="2383"/>
      <c r="AJ3" s="2384"/>
      <c r="AK3" s="1484" t="s">
        <v>504</v>
      </c>
      <c r="AM3" s="722"/>
      <c r="AN3" s="722" t="str">
        <f>IF(T3="","",T3)</f>
        <v>Территория действия тарифа</v>
      </c>
      <c r="AO3" s="722"/>
      <c r="AP3" s="722"/>
    </row>
    <row customHeight="1" ht="23.25" hidden="1">
      <c r="A4" s="1590"/>
      <c r="B4" s="1590"/>
      <c r="C4" s="1590"/>
      <c r="D4" s="1590"/>
      <c r="E4" s="2389"/>
      <c r="F4" s="2389"/>
      <c r="G4" s="2388">
        <v>1</v>
      </c>
      <c r="H4" s="1590"/>
      <c r="I4" s="1590"/>
      <c r="J4" s="1590"/>
      <c r="K4" s="1590"/>
      <c r="L4" s="1591"/>
      <c r="M4" s="1592"/>
      <c r="N4" s="1592"/>
      <c r="O4" s="1592"/>
      <c r="P4" s="576"/>
      <c r="Q4" s="574"/>
      <c r="R4" s="575"/>
      <c r="S4" s="1684">
        <f>INDEX(PT_DIFFERENTIATION_NUM_CS,MATCH(C4,PT_DIFFERENTIATION_CS_ID,0))</f>
      </c>
      <c r="T4" s="531" t="s">
        <v>585</v>
      </c>
      <c r="U4" s="522"/>
      <c r="V4" s="2382"/>
      <c r="W4" s="2383"/>
      <c r="X4" s="2383"/>
      <c r="Y4" s="2383"/>
      <c r="Z4" s="2383"/>
      <c r="AA4" s="2383"/>
      <c r="AB4" s="2384"/>
      <c r="AC4" s="2382">
        <f>INDEX(PT_DIFFERENTIATION_CS,MATCH(C4,PT_DIFFERENTIATION_CS_ID,0))</f>
      </c>
      <c r="AD4" s="2383"/>
      <c r="AE4" s="2383"/>
      <c r="AF4" s="2383"/>
      <c r="AG4" s="2383"/>
      <c r="AH4" s="2383"/>
      <c r="AI4" s="2383"/>
      <c r="AJ4" s="2384"/>
      <c r="AK4" s="1484" t="s">
        <v>586</v>
      </c>
      <c r="AM4" s="722"/>
      <c r="AN4" s="722" t="str">
        <f>IF(T4="","",T4)</f>
        <v>Наименование централизованной системы холодного водоснабжения</v>
      </c>
      <c r="AO4" s="722"/>
      <c r="AP4" s="722"/>
    </row>
    <row customHeight="1" ht="23.25" hidden="1">
      <c r="A5" s="1590"/>
      <c r="B5" s="1590"/>
      <c r="C5" s="1590"/>
      <c r="D5" s="1590"/>
      <c r="E5" s="2389"/>
      <c r="F5" s="2389"/>
      <c r="G5" s="2389"/>
      <c r="H5" s="2389"/>
      <c r="I5" s="2390">
        <f>S4&amp;".1"</f>
      </c>
      <c r="J5" s="1590"/>
      <c r="K5" s="1590"/>
      <c r="L5" s="1591"/>
      <c r="P5" s="2392">
        <v>1</v>
      </c>
      <c r="Q5" s="1677"/>
      <c r="R5" s="578"/>
      <c r="S5" s="1684">
        <f>$I5</f>
      </c>
      <c r="T5" s="507" t="s">
        <v>587</v>
      </c>
      <c r="U5" s="522"/>
      <c r="V5" s="2475"/>
      <c r="W5" s="2476"/>
      <c r="X5" s="2476"/>
      <c r="Y5" s="2476"/>
      <c r="Z5" s="2476"/>
      <c r="AA5" s="2476"/>
      <c r="AB5" s="2477"/>
      <c r="AC5" s="2478"/>
      <c r="AD5" s="2479"/>
      <c r="AE5" s="2479"/>
      <c r="AF5" s="2479"/>
      <c r="AG5" s="2479"/>
      <c r="AH5" s="2479"/>
      <c r="AI5" s="2479"/>
      <c r="AJ5" s="2480"/>
      <c r="AK5" s="1484" t="s">
        <v>588</v>
      </c>
      <c r="AM5" s="722"/>
      <c r="AN5" s="722" t="str">
        <f>IF(T5="","",T5)</f>
        <v>Наименование признака дифференциации</v>
      </c>
      <c r="AO5" s="722"/>
      <c r="AP5" s="722"/>
    </row>
    <row customHeight="1" ht="23.25" hidden="1">
      <c r="A6" s="1590"/>
      <c r="B6" s="1590"/>
      <c r="C6" s="1590"/>
      <c r="D6" s="1590"/>
      <c r="E6" s="2389"/>
      <c r="F6" s="2389"/>
      <c r="G6" s="2389"/>
      <c r="H6" s="2389"/>
      <c r="I6" s="2391"/>
      <c r="J6" s="2390">
        <f>I5&amp;".1"</f>
      </c>
      <c r="K6" s="1590"/>
      <c r="L6" s="1591" t="s">
        <v>512</v>
      </c>
      <c r="P6" s="2392"/>
      <c r="Q6" s="2392">
        <v>1</v>
      </c>
      <c r="R6" s="579"/>
      <c r="S6" s="1684">
        <f>$J6</f>
      </c>
      <c r="T6" s="508" t="s">
        <v>513</v>
      </c>
      <c r="U6" s="522"/>
      <c r="V6" s="2376"/>
      <c r="W6" s="2377"/>
      <c r="X6" s="2377"/>
      <c r="Y6" s="2377"/>
      <c r="Z6" s="2377"/>
      <c r="AA6" s="2377"/>
      <c r="AB6" s="2378"/>
      <c r="AC6" s="2376"/>
      <c r="AD6" s="2377"/>
      <c r="AE6" s="2377"/>
      <c r="AF6" s="2377"/>
      <c r="AG6" s="2377"/>
      <c r="AH6" s="2377"/>
      <c r="AI6" s="2377"/>
      <c r="AJ6" s="2378"/>
      <c r="AK6" s="1534" t="s">
        <v>589</v>
      </c>
      <c r="AM6" s="722"/>
      <c r="AN6" s="722" t="str">
        <f>IF(T6="","",T6)</f>
        <v>Группа потребителей</v>
      </c>
      <c r="AO6" s="722"/>
      <c r="AP6" s="722"/>
    </row>
    <row customHeight="1" ht="23.25" hidden="1">
      <c r="A7" s="1590"/>
      <c r="B7" s="1590"/>
      <c r="C7" s="1590"/>
      <c r="D7" s="1590"/>
      <c r="E7" s="2389"/>
      <c r="F7" s="2389"/>
      <c r="G7" s="2389"/>
      <c r="H7" s="2389"/>
      <c r="I7" s="2391"/>
      <c r="J7" s="2391"/>
      <c r="K7" s="2390">
        <f>J6&amp;".1"</f>
      </c>
      <c r="L7" s="1591"/>
      <c r="P7" s="2392"/>
      <c r="Q7" s="2392"/>
      <c r="R7" s="579">
        <v>1</v>
      </c>
      <c r="S7" s="1684">
        <f>$K7</f>
      </c>
      <c r="T7" s="1664"/>
      <c r="U7" s="522"/>
      <c r="V7" s="973"/>
      <c r="W7" s="973"/>
      <c r="X7" s="1483"/>
      <c r="Y7" s="2393"/>
      <c r="Z7" s="2263" t="s">
        <v>63</v>
      </c>
      <c r="AA7" s="2393"/>
      <c r="AB7" s="2263" t="s">
        <v>63</v>
      </c>
      <c r="AC7" s="973"/>
      <c r="AD7" s="973"/>
      <c r="AE7" s="1483"/>
      <c r="AF7" s="2393"/>
      <c r="AG7" s="2263" t="s">
        <v>63</v>
      </c>
      <c r="AH7" s="2395"/>
      <c r="AI7" s="2263" t="s">
        <v>63</v>
      </c>
      <c r="AJ7" s="1665"/>
      <c r="AK7" s="24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3">
        <f>STRCHECKDATE(V8:AJ8)</f>
      </c>
      <c r="AM7" s="722"/>
      <c r="AN7" s="722" t="str">
        <f>IF(T7="","",T7)</f>
        <v/>
      </c>
      <c r="AO7" s="722"/>
      <c r="AP7" s="722"/>
    </row>
    <row customHeight="1" ht="14.25" hidden="1">
      <c r="A8" s="1590"/>
      <c r="B8" s="1590"/>
      <c r="C8" s="1590"/>
      <c r="D8" s="1590"/>
      <c r="E8" s="2389"/>
      <c r="F8" s="2389"/>
      <c r="G8" s="2389"/>
      <c r="H8" s="2389"/>
      <c r="I8" s="2391"/>
      <c r="J8" s="2391"/>
      <c r="K8" s="2390"/>
      <c r="L8" s="1591"/>
      <c r="P8" s="2392"/>
      <c r="Q8" s="2392"/>
      <c r="R8" s="579"/>
      <c r="S8" s="1683"/>
      <c r="T8" s="522"/>
      <c r="U8" s="522"/>
      <c r="V8" s="547"/>
      <c r="W8" s="547"/>
      <c r="X8" s="550" t="str">
        <f>Y7&amp;"-"&amp;AA7</f>
        <v>-</v>
      </c>
      <c r="Y8" s="2394"/>
      <c r="Z8" s="2263"/>
      <c r="AA8" s="2394"/>
      <c r="AB8" s="2263"/>
      <c r="AC8" s="547"/>
      <c r="AD8" s="547"/>
      <c r="AE8" s="550" t="str">
        <f>AF7&amp;"-"&amp;AH7</f>
        <v>-</v>
      </c>
      <c r="AF8" s="2394"/>
      <c r="AG8" s="2263"/>
      <c r="AH8" s="2396"/>
      <c r="AI8" s="2263"/>
      <c r="AJ8" s="1666"/>
      <c r="AK8" s="2481"/>
      <c r="AM8" s="722"/>
      <c r="AN8" s="722" t="str">
        <f>IF(T8="","",T8)</f>
        <v/>
      </c>
      <c r="AO8" s="722"/>
      <c r="AP8" s="722"/>
    </row>
    <row customHeight="1" ht="21" hidden="1">
      <c r="A9" s="1590"/>
      <c r="B9" s="1590"/>
      <c r="C9" s="1590"/>
      <c r="D9" s="1590"/>
      <c r="E9" s="2389"/>
      <c r="F9" s="2389"/>
      <c r="G9" s="2389"/>
      <c r="H9" s="2389"/>
      <c r="I9" s="2391"/>
      <c r="J9" s="2390"/>
      <c r="K9" s="1590"/>
      <c r="L9" s="1591"/>
      <c r="P9" s="2392"/>
      <c r="Q9" s="2392"/>
      <c r="R9" s="578"/>
      <c r="S9" s="1505"/>
      <c r="T9" s="509" t="s">
        <v>590</v>
      </c>
      <c r="U9" s="589"/>
      <c r="V9" s="589"/>
      <c r="W9" s="589"/>
      <c r="X9" s="589"/>
      <c r="Y9" s="589"/>
      <c r="Z9" s="589"/>
      <c r="AA9" s="589"/>
      <c r="AB9" s="589"/>
      <c r="AC9" s="589"/>
      <c r="AD9" s="589"/>
      <c r="AE9" s="589"/>
      <c r="AF9" s="589"/>
      <c r="AG9" s="589"/>
      <c r="AH9" s="589"/>
      <c r="AI9" s="589"/>
      <c r="AJ9" s="589"/>
      <c r="AK9" s="1484" t="s">
        <v>591</v>
      </c>
      <c r="AM9" s="722"/>
      <c r="AN9" s="722" t="str">
        <f>IF(T9="","",T9)</f>
        <v>Добавить значение признака дифференциации</v>
      </c>
      <c r="AO9" s="722"/>
      <c r="AP9" s="722"/>
    </row>
    <row customHeight="1" ht="21" hidden="1">
      <c r="A10" s="1590"/>
      <c r="B10" s="1590"/>
      <c r="C10" s="1590"/>
      <c r="D10" s="1590"/>
      <c r="E10" s="2389"/>
      <c r="F10" s="2389"/>
      <c r="G10" s="2389"/>
      <c r="H10" s="2389"/>
      <c r="I10" s="2390"/>
      <c r="J10" s="1590"/>
      <c r="K10" s="1590"/>
      <c r="L10" s="1591"/>
      <c r="P10" s="2392"/>
      <c r="Q10" s="1677"/>
      <c r="R10" s="578"/>
      <c r="S10" s="1505"/>
      <c r="T10" s="587" t="s">
        <v>518</v>
      </c>
      <c r="U10" s="589"/>
      <c r="V10" s="589"/>
      <c r="W10" s="589"/>
      <c r="X10" s="589"/>
      <c r="Y10" s="589"/>
      <c r="Z10" s="589"/>
      <c r="AA10" s="589"/>
      <c r="AB10" s="588"/>
      <c r="AC10" s="589"/>
      <c r="AD10" s="589"/>
      <c r="AE10" s="589"/>
      <c r="AF10" s="589"/>
      <c r="AG10" s="589"/>
      <c r="AH10" s="589"/>
      <c r="AI10" s="588"/>
      <c r="AJ10" s="589"/>
      <c r="AK10" s="1667"/>
      <c r="AM10" s="722"/>
      <c r="AN10" s="722" t="str">
        <f>IF(T10="","",T10)</f>
        <v>Добавить группу потребителей</v>
      </c>
      <c r="AO10" s="722"/>
      <c r="AP10" s="722"/>
    </row>
    <row customHeight="1" ht="21" hidden="1">
      <c r="A11" s="1590"/>
      <c r="B11" s="1590"/>
      <c r="C11" s="1590"/>
      <c r="D11" s="1590"/>
      <c r="E11" s="2389"/>
      <c r="F11" s="2389"/>
      <c r="G11" s="2389"/>
      <c r="H11" s="2388"/>
      <c r="I11" s="1590"/>
      <c r="J11" s="1590"/>
      <c r="K11" s="1590"/>
      <c r="L11" s="1591"/>
      <c r="M11" s="1592"/>
      <c r="N11" s="1592"/>
      <c r="O11" s="759"/>
      <c r="P11" s="582"/>
      <c r="Q11" s="597"/>
      <c r="R11" s="577"/>
      <c r="S11" s="1505"/>
      <c r="T11" s="594" t="s">
        <v>592</v>
      </c>
      <c r="U11" s="589"/>
      <c r="V11" s="589"/>
      <c r="W11" s="589"/>
      <c r="X11" s="589"/>
      <c r="Y11" s="589"/>
      <c r="Z11" s="589"/>
      <c r="AA11" s="589"/>
      <c r="AB11" s="588"/>
      <c r="AC11" s="589"/>
      <c r="AD11" s="589"/>
      <c r="AE11" s="589"/>
      <c r="AF11" s="589"/>
      <c r="AG11" s="589"/>
      <c r="AH11" s="589"/>
      <c r="AI11" s="588"/>
      <c r="AJ11" s="589"/>
      <c r="AK11" s="525"/>
      <c r="AM11" s="722"/>
      <c r="AN11" s="722" t="str">
        <f>IF(T11="","",T11)</f>
        <v>Добавить наименование признака дифференциации</v>
      </c>
      <c r="AO11" s="722"/>
      <c r="AP11" s="722"/>
    </row>
    <row s="16531" customFormat="1" customHeight="1" ht="14.25" hidden="1">
      <c r="A12" s="1570"/>
      <c r="B12" s="1570"/>
      <c r="C12" s="1541"/>
      <c r="D12" s="1541"/>
      <c r="E12" s="2389"/>
      <c r="F12" s="2388"/>
      <c r="G12" s="1541"/>
      <c r="H12" s="1541"/>
      <c r="I12" s="1541"/>
      <c r="J12" s="1541"/>
      <c r="K12" s="1541"/>
      <c r="L12" s="1685"/>
      <c r="M12" s="1548"/>
      <c r="N12" s="1548"/>
      <c r="P12" s="1543"/>
      <c r="Q12" s="1544"/>
      <c r="R12" s="1543"/>
      <c r="S12" s="1549"/>
      <c r="T12" s="1552" t="s">
        <v>305</v>
      </c>
      <c r="U12" s="1551"/>
      <c r="V12" s="1551"/>
      <c r="W12" s="1551"/>
      <c r="X12" s="1551"/>
      <c r="Y12" s="1551"/>
      <c r="Z12" s="1551"/>
      <c r="AA12" s="1551"/>
      <c r="AB12" s="1551"/>
      <c r="AC12" s="1551"/>
      <c r="AD12" s="1551"/>
      <c r="AE12" s="1551"/>
      <c r="AF12" s="1551"/>
      <c r="AG12" s="1551"/>
      <c r="AH12" s="1551"/>
      <c r="AI12" s="1551"/>
      <c r="AJ12" s="1551"/>
      <c r="AK12" s="1551"/>
      <c r="AM12" s="1011"/>
      <c r="AN12" s="1011" t="str">
        <f>IF(T12="","",T12)</f>
        <v>Добавить централизованную систему для дифференциации</v>
      </c>
      <c r="AO12" s="1011"/>
      <c r="AP12" s="1011"/>
    </row>
    <row s="16622" customFormat="1" customHeight="1" ht="14.25" hidden="1">
      <c r="A13" s="1570"/>
      <c r="B13" s="1570"/>
      <c r="C13" s="1570"/>
      <c r="D13" s="1570"/>
      <c r="E13" s="2388"/>
      <c r="F13" s="1570"/>
      <c r="G13" s="1570"/>
      <c r="H13" s="1570"/>
      <c r="I13" s="1570"/>
      <c r="J13" s="1570"/>
      <c r="K13" s="1570"/>
      <c r="L13" s="1573"/>
      <c r="M13" s="1548"/>
      <c r="N13" s="1548"/>
      <c r="O13" s="740"/>
      <c r="P13" s="602"/>
      <c r="Q13" s="1571"/>
      <c r="R13" s="602"/>
      <c r="S13" s="1549"/>
      <c r="T13" s="1552" t="s">
        <v>358</v>
      </c>
      <c r="U13" s="1551"/>
      <c r="V13" s="1551"/>
      <c r="W13" s="1551"/>
      <c r="X13" s="1551"/>
      <c r="Y13" s="1551"/>
      <c r="Z13" s="1551"/>
      <c r="AA13" s="1551"/>
      <c r="AB13" s="1551"/>
      <c r="AC13" s="1551"/>
      <c r="AD13" s="1551"/>
      <c r="AE13" s="1551"/>
      <c r="AF13" s="1551"/>
      <c r="AG13" s="1551"/>
      <c r="AH13" s="1551"/>
      <c r="AI13" s="1551"/>
      <c r="AJ13" s="1551"/>
      <c r="AK13" s="1551"/>
      <c r="AM13" s="722"/>
      <c r="AN13" s="722" t="str">
        <f>IF(T13="","",T13)</f>
        <v>Добавить территорию для дифференциации</v>
      </c>
      <c r="AO13" s="722"/>
      <c r="AP13" s="722"/>
    </row>
    <row customHeight="1" ht="14.25" hidden="1">
      <c r="AB14" s="549"/>
      <c r="AI14" s="549"/>
    </row>
    <row customHeight="1" ht="14.25" hidden="1">
      <c r="AC15" s="1587"/>
      <c r="AD15" s="1587"/>
      <c r="AE15" s="1588"/>
      <c r="AF15" s="2386"/>
      <c r="AG15" s="2385" t="s">
        <v>63</v>
      </c>
      <c r="AH15" s="2386"/>
      <c r="AI15" s="2385" t="s">
        <v>63</v>
      </c>
    </row>
    <row customHeight="1" ht="14.25" hidden="1">
      <c r="AC16" s="1587"/>
      <c r="AD16" s="1587"/>
      <c r="AE16" s="550" t="str">
        <f>AF15&amp;"-"&amp;AH15</f>
        <v>-</v>
      </c>
      <c r="AF16" s="2385"/>
      <c r="AG16" s="2385"/>
      <c r="AH16" s="2385"/>
      <c r="AI16" s="2385"/>
    </row>
    <row customHeight="1" ht="14.25" hidden="1">
      <c r="AI17" s="549"/>
    </row>
    <row s="16550" customFormat="1" customHeight="1" ht="22.5" hidden="1">
      <c r="L18" s="1674"/>
      <c r="M18" s="1589"/>
      <c r="N18" s="1589"/>
      <c r="O18" s="1594" t="s">
        <v>521</v>
      </c>
      <c r="P18" s="1589"/>
      <c r="Q18" s="1598"/>
      <c r="R18" s="1598"/>
      <c r="S18" s="951"/>
      <c r="Y18" s="1594"/>
      <c r="AA18" s="1594"/>
      <c r="AB18" s="1593"/>
      <c r="AF18" s="1594"/>
      <c r="AH18" s="1594"/>
      <c r="AI18" s="1593"/>
      <c r="AL18" s="733"/>
      <c r="AM18" s="733"/>
      <c r="AN18" s="733"/>
      <c r="AO18" s="733"/>
      <c r="AP18" s="733"/>
    </row>
    <row s="16550" customFormat="1" customHeight="1" ht="14.25" hidden="1">
      <c r="L19" s="1674"/>
      <c r="M19" s="1589"/>
      <c r="N19" s="1589"/>
      <c r="O19" s="1589"/>
      <c r="P19" s="1589"/>
      <c r="Q19" s="1598"/>
      <c r="R19" s="1598"/>
      <c r="S19" s="951"/>
      <c r="AB19" s="1593"/>
      <c r="AI19" s="1593"/>
      <c r="AL19" s="733"/>
      <c r="AM19" s="733"/>
      <c r="AN19" s="733"/>
      <c r="AO19" s="733"/>
      <c r="AP19" s="733"/>
    </row>
    <row s="16550" customFormat="1" customHeight="1" ht="12" hidden="1">
      <c r="L20" s="1674"/>
      <c r="M20" s="1589"/>
      <c r="N20" s="1589"/>
      <c r="O20" s="1591" t="s">
        <v>522</v>
      </c>
      <c r="P20" s="1589"/>
      <c r="Q20" s="1669"/>
      <c r="R20" s="1669"/>
      <c r="S20" s="951"/>
      <c r="T20" s="1384" t="s">
        <v>523</v>
      </c>
      <c r="Z20" s="408" t="s">
        <v>524</v>
      </c>
      <c r="AB20" s="408" t="s">
        <v>525</v>
      </c>
      <c r="AC20" s="1384" t="s">
        <v>523</v>
      </c>
      <c r="AG20" s="408" t="s">
        <v>526</v>
      </c>
      <c r="AI20" s="408" t="s">
        <v>525</v>
      </c>
    </row>
    <row customHeight="1" ht="14.25" hidden="1">
      <c r="O21" s="1591"/>
    </row>
    <row customHeight="1" ht="14.25" hidden="1">
      <c r="O22" s="1591"/>
    </row>
    <row customHeight="1" ht="14.25">
      <c r="Q23" s="598"/>
      <c r="R23" s="598"/>
      <c r="S23" s="1502"/>
      <c r="T23" s="585"/>
      <c r="U23" s="585"/>
      <c r="V23" s="731"/>
      <c r="W23" s="731"/>
      <c r="X23" s="731"/>
      <c r="Y23" s="731"/>
      <c r="Z23" s="731"/>
      <c r="AA23" s="731"/>
      <c r="AB23" s="731"/>
      <c r="AC23" s="731"/>
      <c r="AD23" s="731"/>
      <c r="AE23" s="731"/>
      <c r="AF23" s="731"/>
      <c r="AG23" s="731"/>
      <c r="AH23" s="731"/>
      <c r="AI23" s="731"/>
    </row>
    <row customHeight="1" ht="14.25">
      <c r="Q24" s="598"/>
      <c r="R24" s="598"/>
      <c r="S24" s="24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21"/>
      <c r="U24" s="2421"/>
      <c r="V24" s="2421"/>
      <c r="W24" s="2421"/>
      <c r="X24" s="2421"/>
      <c r="Y24" s="2421"/>
      <c r="Z24" s="2421"/>
      <c r="AA24" s="2421"/>
      <c r="AB24" s="2421"/>
      <c r="AC24" s="2421"/>
      <c r="AD24" s="2421"/>
      <c r="AE24" s="2421"/>
      <c r="AF24" s="2421"/>
      <c r="AG24" s="2421"/>
      <c r="AH24" s="2421"/>
      <c r="AI24" s="1469"/>
    </row>
    <row customHeight="1" ht="14.25">
      <c r="Q25" s="598"/>
      <c r="R25" s="598"/>
      <c r="S25" s="2422" t="str">
        <f>IF(org=0,"Не определено",org)</f>
        <v>КГУП "Примтеплоэнерго"</v>
      </c>
      <c r="T25" s="2422"/>
      <c r="U25" s="2422"/>
      <c r="V25" s="2422"/>
      <c r="W25" s="2422"/>
      <c r="X25" s="2422"/>
      <c r="Y25" s="2422"/>
      <c r="Z25" s="2422"/>
      <c r="AA25" s="2422"/>
      <c r="AB25" s="2422"/>
      <c r="AC25" s="2422"/>
      <c r="AD25" s="2422"/>
      <c r="AE25" s="2422"/>
      <c r="AF25" s="2422"/>
      <c r="AG25" s="2422"/>
      <c r="AH25" s="2422"/>
      <c r="AI25" s="1469"/>
    </row>
    <row customHeight="1" ht="14.25" hidden="1">
      <c r="Q26" s="598"/>
      <c r="R26" s="598"/>
      <c r="S26" s="1502"/>
      <c r="T26" s="585"/>
      <c r="U26" s="585"/>
      <c r="V26" s="544"/>
      <c r="W26" s="544"/>
      <c r="X26" s="544"/>
      <c r="Y26" s="544"/>
      <c r="Z26" s="544"/>
      <c r="AA26" s="544"/>
      <c r="AB26" s="544"/>
      <c r="AC26" s="544"/>
      <c r="AD26" s="544"/>
      <c r="AE26" s="544"/>
      <c r="AF26" s="544"/>
      <c r="AG26" s="544"/>
      <c r="AH26" s="544"/>
      <c r="AI26" s="544"/>
      <c r="AJ26" s="731"/>
    </row>
    <row s="16563" customFormat="1" customHeight="1" ht="25.5" hidden="1">
      <c r="A27" s="1595"/>
      <c r="B27" s="1595"/>
      <c r="C27" s="1595"/>
      <c r="D27" s="1595"/>
      <c r="E27" s="1595"/>
      <c r="F27" s="1595"/>
      <c r="G27" s="1595"/>
      <c r="H27" s="1595"/>
      <c r="I27" s="1595"/>
      <c r="J27" s="1595"/>
      <c r="K27" s="1595"/>
      <c r="L27" s="1596"/>
      <c r="M27" s="1595"/>
      <c r="N27" s="1595"/>
      <c r="O27" s="1595"/>
      <c r="S27" s="2379" t="s">
        <v>38</v>
      </c>
      <c r="T27" s="2379"/>
      <c r="U27" s="1599"/>
      <c r="V27" s="2381" t="str">
        <f>IF(TITLE_NAME_OR_PR_CHANGE="",IF(TITLE_NAME_OR_PR="","",TITLE_NAME_OR_PR),TITLE_NAME_OR_PR_CHANGE)</f>
        <v/>
      </c>
      <c r="W27" s="2381"/>
      <c r="X27" s="2381"/>
      <c r="Y27" s="2381"/>
      <c r="Z27" s="2381"/>
      <c r="AA27" s="2381"/>
      <c r="AB27" s="548"/>
      <c r="AC27" s="2381" t="str">
        <f>IF(TITLE_NAME_OR_PR_CHANGE="",IF(TITLE_NAME_OR_PR="","",TITLE_NAME_OR_PR),TITLE_NAME_OR_PR_CHANGE)</f>
        <v/>
      </c>
      <c r="AD27" s="2381"/>
      <c r="AE27" s="2381"/>
      <c r="AF27" s="2381"/>
      <c r="AG27" s="2381"/>
      <c r="AH27" s="2381"/>
      <c r="AI27" s="548"/>
      <c r="AJ27" s="548"/>
      <c r="AK27" s="502"/>
      <c r="AL27" s="590"/>
      <c r="AM27" s="590"/>
      <c r="AN27" s="590"/>
      <c r="AO27" s="590"/>
      <c r="AP27" s="590"/>
    </row>
    <row s="16563" customFormat="1" customHeight="1" ht="18.75" hidden="1">
      <c r="A28" s="1595"/>
      <c r="B28" s="1595"/>
      <c r="C28" s="1595"/>
      <c r="D28" s="1595"/>
      <c r="E28" s="1595"/>
      <c r="F28" s="1595"/>
      <c r="G28" s="1595"/>
      <c r="H28" s="1595"/>
      <c r="I28" s="1595"/>
      <c r="J28" s="1595"/>
      <c r="K28" s="1595"/>
      <c r="L28" s="1596"/>
      <c r="M28" s="1595"/>
      <c r="N28" s="1595"/>
      <c r="O28" s="1595"/>
      <c r="S28" s="2379" t="s">
        <v>527</v>
      </c>
      <c r="T28" s="2379"/>
      <c r="U28" s="1599"/>
      <c r="V28" s="2380" t="str">
        <f>IF(TITLE_DATE_PR_CHANGE="",IF(TITLE_DATE_PR="","",TITLE_DATE_PR),TITLE_DATE_PR_CHANGE)</f>
        <v>45407.47206018519</v>
      </c>
      <c r="W28" s="2380"/>
      <c r="X28" s="2380"/>
      <c r="Y28" s="2380"/>
      <c r="Z28" s="2380"/>
      <c r="AA28" s="2380"/>
      <c r="AB28" s="548"/>
      <c r="AC28" s="2380" t="str">
        <f>IF(TITLE_DATE_PR_CHANGE="",IF(TITLE_DATE_PR="","",TITLE_DATE_PR),TITLE_DATE_PR_CHANGE)</f>
        <v>45407.47206018519</v>
      </c>
      <c r="AD28" s="2380"/>
      <c r="AE28" s="2380"/>
      <c r="AF28" s="2380"/>
      <c r="AG28" s="2380"/>
      <c r="AH28" s="2380"/>
      <c r="AI28" s="548"/>
      <c r="AJ28" s="548"/>
      <c r="AK28" s="502"/>
      <c r="AL28" s="590"/>
      <c r="AM28" s="590"/>
      <c r="AN28" s="590"/>
      <c r="AO28" s="590"/>
      <c r="AP28" s="590"/>
    </row>
    <row s="16563" customFormat="1" customHeight="1" ht="18.75" hidden="1">
      <c r="A29" s="1595"/>
      <c r="B29" s="1595"/>
      <c r="C29" s="1595"/>
      <c r="D29" s="1595"/>
      <c r="E29" s="1595"/>
      <c r="F29" s="1595"/>
      <c r="G29" s="1595"/>
      <c r="H29" s="1595"/>
      <c r="I29" s="1595"/>
      <c r="J29" s="1595"/>
      <c r="K29" s="1595"/>
      <c r="L29" s="1596"/>
      <c r="M29" s="1595"/>
      <c r="N29" s="1595"/>
      <c r="O29" s="1595"/>
      <c r="S29" s="2379" t="s">
        <v>528</v>
      </c>
      <c r="T29" s="2379"/>
      <c r="U29" s="1599"/>
      <c r="V29" s="2381" t="str">
        <f>IF(TITLE_NUMBER_PR_CHANGE="",IF(TITLE_NUMBER_PR="","",TITLE_NUMBER_PR),TITLE_NUMBER_PR_CHANGE)</f>
        <v>27-2067</v>
      </c>
      <c r="W29" s="2381"/>
      <c r="X29" s="2381"/>
      <c r="Y29" s="2381"/>
      <c r="Z29" s="2381"/>
      <c r="AA29" s="2381"/>
      <c r="AB29" s="548"/>
      <c r="AC29" s="2381" t="str">
        <f>IF(TITLE_NUMBER_PR_CHANGE="",IF(TITLE_NUMBER_PR="","",TITLE_NUMBER_PR),TITLE_NUMBER_PR_CHANGE)</f>
        <v>27-2067</v>
      </c>
      <c r="AD29" s="2381"/>
      <c r="AE29" s="2381"/>
      <c r="AF29" s="2381"/>
      <c r="AG29" s="2381"/>
      <c r="AH29" s="2381"/>
      <c r="AI29" s="548"/>
      <c r="AJ29" s="548"/>
      <c r="AK29" s="502"/>
      <c r="AL29" s="590"/>
      <c r="AM29" s="590"/>
      <c r="AN29" s="590"/>
      <c r="AO29" s="590"/>
      <c r="AP29" s="590"/>
    </row>
    <row s="16563" customFormat="1" customHeight="1" ht="18.75" hidden="1">
      <c r="A30" s="1595"/>
      <c r="B30" s="1595"/>
      <c r="C30" s="1595"/>
      <c r="D30" s="1595"/>
      <c r="E30" s="1595"/>
      <c r="F30" s="1595"/>
      <c r="G30" s="1595"/>
      <c r="H30" s="1595"/>
      <c r="I30" s="1595"/>
      <c r="J30" s="1595"/>
      <c r="K30" s="1595"/>
      <c r="L30" s="1596"/>
      <c r="M30" s="1595"/>
      <c r="N30" s="1595"/>
      <c r="O30" s="1595"/>
      <c r="S30" s="2379" t="s">
        <v>39</v>
      </c>
      <c r="T30" s="2379"/>
      <c r="U30" s="1599"/>
      <c r="V30" s="2381" t="str">
        <f>IF(TITLE_IST_PUB_CHANGE="",IF(TITLE_IST_PUB="","",TITLE_IST_PUB),TITLE_IST_PUB_CHANGE)</f>
        <v/>
      </c>
      <c r="W30" s="2381"/>
      <c r="X30" s="2381"/>
      <c r="Y30" s="2381"/>
      <c r="Z30" s="2381"/>
      <c r="AA30" s="2381"/>
      <c r="AB30" s="548"/>
      <c r="AC30" s="2381" t="str">
        <f>IF(TITLE_IST_PUB_CHANGE="",IF(TITLE_IST_PUB="","",TITLE_IST_PUB),TITLE_IST_PUB_CHANGE)</f>
        <v/>
      </c>
      <c r="AD30" s="2381"/>
      <c r="AE30" s="2381"/>
      <c r="AF30" s="2381"/>
      <c r="AG30" s="2381"/>
      <c r="AH30" s="2381"/>
      <c r="AI30" s="548"/>
      <c r="AJ30" s="548"/>
      <c r="AK30" s="502"/>
      <c r="AL30" s="590"/>
      <c r="AM30" s="590"/>
      <c r="AN30" s="590"/>
      <c r="AO30" s="590"/>
      <c r="AP30" s="590"/>
    </row>
    <row customHeight="1" ht="14.25">
      <c r="Q31" s="598"/>
      <c r="R31" s="598"/>
      <c r="S31" s="1502"/>
      <c r="T31" s="585"/>
      <c r="U31" s="585"/>
      <c r="V31" s="544"/>
      <c r="W31" s="544"/>
      <c r="X31" s="544"/>
      <c r="Y31" s="544"/>
      <c r="Z31" s="544"/>
      <c r="AA31" s="544"/>
      <c r="AB31" s="544"/>
      <c r="AC31" s="544"/>
      <c r="AD31" s="544"/>
      <c r="AE31" s="544"/>
      <c r="AF31" s="544"/>
      <c r="AG31" s="544"/>
      <c r="AH31" s="544"/>
      <c r="AI31" s="544"/>
      <c r="AJ31" s="731"/>
    </row>
    <row s="16563" customFormat="1" customHeight="1" ht="18.75">
      <c r="A32" s="1595"/>
      <c r="B32" s="1595"/>
      <c r="C32" s="1595"/>
      <c r="D32" s="1595"/>
      <c r="E32" s="1595"/>
      <c r="F32" s="1595"/>
      <c r="G32" s="1595"/>
      <c r="H32" s="1595"/>
      <c r="I32" s="1595"/>
      <c r="J32" s="1595"/>
      <c r="K32" s="1595"/>
      <c r="L32" s="1596"/>
      <c r="M32" s="1595"/>
      <c r="N32" s="1595"/>
      <c r="O32" s="1595"/>
      <c r="S32" s="2379" t="s">
        <v>529</v>
      </c>
      <c r="T32" s="2379"/>
      <c r="U32" s="1599"/>
      <c r="V32" s="2380" t="str">
        <f>IF(TITLE_DATE_PR_CHANGE="",IF(TITLE_DATE_PR="","",TITLE_DATE_PR),TITLE_DATE_PR_CHANGE)</f>
        <v>45407.47206018519</v>
      </c>
      <c r="W32" s="2380"/>
      <c r="X32" s="2380"/>
      <c r="Y32" s="2380"/>
      <c r="Z32" s="2380"/>
      <c r="AA32" s="2380"/>
      <c r="AB32" s="548"/>
      <c r="AC32" s="2380" t="str">
        <f>IF(TITLE_DATE_PR_CHANGE="",IF(TITLE_DATE_PR="","",TITLE_DATE_PR),TITLE_DATE_PR_CHANGE)</f>
        <v>45407.47206018519</v>
      </c>
      <c r="AD32" s="2380"/>
      <c r="AE32" s="2380"/>
      <c r="AF32" s="2380"/>
      <c r="AG32" s="2380"/>
      <c r="AH32" s="2380"/>
      <c r="AI32" s="548"/>
      <c r="AJ32" s="548"/>
      <c r="AK32" s="502"/>
      <c r="AL32" s="590"/>
      <c r="AM32" s="590"/>
      <c r="AN32" s="590"/>
      <c r="AO32" s="590"/>
      <c r="AP32" s="590"/>
    </row>
    <row s="16563" customFormat="1" customHeight="1" ht="18.75">
      <c r="A33" s="1595"/>
      <c r="B33" s="1595"/>
      <c r="C33" s="1595"/>
      <c r="D33" s="1595"/>
      <c r="E33" s="1595"/>
      <c r="F33" s="1595"/>
      <c r="G33" s="1595"/>
      <c r="H33" s="1595"/>
      <c r="I33" s="1595"/>
      <c r="J33" s="1595"/>
      <c r="K33" s="1595"/>
      <c r="L33" s="1596"/>
      <c r="M33" s="1595"/>
      <c r="N33" s="1595"/>
      <c r="O33" s="1595"/>
      <c r="S33" s="2379" t="s">
        <v>530</v>
      </c>
      <c r="T33" s="2379"/>
      <c r="U33" s="1599"/>
      <c r="V33" s="2381" t="str">
        <f>IF(TITLE_NUMBER_PR_CHANGE="",IF(TITLE_NUMBER_PR="","",TITLE_NUMBER_PR),TITLE_NUMBER_PR_CHANGE)</f>
        <v>27-2067</v>
      </c>
      <c r="W33" s="2381"/>
      <c r="X33" s="2381"/>
      <c r="Y33" s="2381"/>
      <c r="Z33" s="2381"/>
      <c r="AA33" s="2381"/>
      <c r="AB33" s="548"/>
      <c r="AC33" s="2381" t="str">
        <f>IF(TITLE_NUMBER_PR_CHANGE="",IF(TITLE_NUMBER_PR="","",TITLE_NUMBER_PR),TITLE_NUMBER_PR_CHANGE)</f>
        <v>27-2067</v>
      </c>
      <c r="AD33" s="2381"/>
      <c r="AE33" s="2381"/>
      <c r="AF33" s="2381"/>
      <c r="AG33" s="2381"/>
      <c r="AH33" s="2381"/>
      <c r="AI33" s="548"/>
      <c r="AJ33" s="548"/>
      <c r="AK33" s="502"/>
      <c r="AL33" s="590"/>
      <c r="AM33" s="590"/>
      <c r="AN33" s="590"/>
      <c r="AO33" s="590"/>
      <c r="AP33" s="590"/>
    </row>
    <row s="16563" customFormat="1" customHeight="1" ht="0.75">
      <c r="A34" s="1595"/>
      <c r="B34" s="1595"/>
      <c r="C34" s="1595"/>
      <c r="D34" s="1595"/>
      <c r="E34" s="1595"/>
      <c r="F34" s="1595"/>
      <c r="G34" s="1595"/>
      <c r="H34" s="1595"/>
      <c r="I34" s="1595"/>
      <c r="J34" s="1595"/>
      <c r="K34" s="1595"/>
      <c r="L34" s="1596"/>
      <c r="M34" s="1595"/>
      <c r="N34" s="1595"/>
      <c r="O34" s="1595"/>
      <c r="S34" s="545"/>
      <c r="T34" s="545"/>
      <c r="U34" s="1681"/>
      <c r="V34" s="548"/>
      <c r="W34" s="548"/>
      <c r="X34" s="548"/>
      <c r="Y34" s="548"/>
      <c r="Z34" s="548"/>
      <c r="AA34" s="548"/>
      <c r="AB34" s="500" t="s">
        <v>531</v>
      </c>
      <c r="AC34" s="548"/>
      <c r="AD34" s="548"/>
      <c r="AE34" s="548"/>
      <c r="AF34" s="548"/>
      <c r="AG34" s="548"/>
      <c r="AH34" s="548"/>
      <c r="AI34" s="500" t="s">
        <v>531</v>
      </c>
      <c r="AL34" s="590"/>
      <c r="AM34" s="590"/>
      <c r="AN34" s="590"/>
      <c r="AO34" s="590"/>
      <c r="AP34" s="590"/>
    </row>
    <row customHeight="1" ht="14.25">
      <c r="Q35" s="598"/>
      <c r="R35" s="598"/>
      <c r="S35" s="1502"/>
      <c r="T35" s="585"/>
      <c r="U35" s="1470"/>
      <c r="V35" s="2405"/>
      <c r="W35" s="2405"/>
      <c r="X35" s="2405"/>
      <c r="Y35" s="2405"/>
      <c r="Z35" s="2405"/>
      <c r="AA35" s="2405"/>
      <c r="AB35" s="2405"/>
      <c r="AC35" s="2405"/>
      <c r="AD35" s="2405"/>
      <c r="AE35" s="2405"/>
      <c r="AF35" s="2405"/>
      <c r="AG35" s="2405"/>
      <c r="AH35" s="2405"/>
      <c r="AI35" s="2405"/>
    </row>
    <row customHeight="1" ht="14.25">
      <c r="Q36" s="598"/>
      <c r="R36" s="598"/>
      <c r="S36" s="2253" t="s">
        <v>406</v>
      </c>
      <c r="T36" s="2253"/>
      <c r="U36" s="2253"/>
      <c r="V36" s="2253"/>
      <c r="W36" s="2253"/>
      <c r="X36" s="2253"/>
      <c r="Y36" s="2253"/>
      <c r="Z36" s="2253"/>
      <c r="AA36" s="2253"/>
      <c r="AB36" s="2253"/>
      <c r="AC36" s="2253"/>
      <c r="AD36" s="2253"/>
      <c r="AE36" s="2253"/>
      <c r="AF36" s="2253"/>
      <c r="AG36" s="2253"/>
      <c r="AH36" s="2253"/>
      <c r="AI36" s="2253"/>
      <c r="AJ36" s="2253"/>
      <c r="AK36" s="2253" t="s">
        <v>407</v>
      </c>
    </row>
    <row customHeight="1" ht="14.25">
      <c r="Q37" s="598"/>
      <c r="R37" s="598"/>
      <c r="S37" s="2406" t="s">
        <v>84</v>
      </c>
      <c r="T37" s="2343" t="s">
        <v>532</v>
      </c>
      <c r="U37" s="523"/>
      <c r="V37" s="2407" t="s">
        <v>533</v>
      </c>
      <c r="W37" s="2408"/>
      <c r="X37" s="2408"/>
      <c r="Y37" s="2408"/>
      <c r="Z37" s="2408"/>
      <c r="AA37" s="2409"/>
      <c r="AB37" s="2410" t="s">
        <v>534</v>
      </c>
      <c r="AC37" s="2407" t="s">
        <v>533</v>
      </c>
      <c r="AD37" s="2408"/>
      <c r="AE37" s="2408"/>
      <c r="AF37" s="2408"/>
      <c r="AG37" s="2408"/>
      <c r="AH37" s="2409"/>
      <c r="AI37" s="2410" t="s">
        <v>535</v>
      </c>
      <c r="AJ37" s="2413" t="s">
        <v>536</v>
      </c>
      <c r="AK37" s="2253"/>
    </row>
    <row customHeight="1" ht="33.75">
      <c r="Q38" s="598"/>
      <c r="R38" s="598"/>
      <c r="S38" s="2406"/>
      <c r="T38" s="2343"/>
      <c r="U38" s="1254"/>
      <c r="V38" s="1679" t="s">
        <v>593</v>
      </c>
      <c r="W38" s="2399" t="s">
        <v>539</v>
      </c>
      <c r="X38" s="2401"/>
      <c r="Y38" s="2399" t="s">
        <v>540</v>
      </c>
      <c r="Z38" s="2400"/>
      <c r="AA38" s="2401"/>
      <c r="AB38" s="2411"/>
      <c r="AC38" s="1679" t="s">
        <v>593</v>
      </c>
      <c r="AD38" s="2399" t="s">
        <v>539</v>
      </c>
      <c r="AE38" s="2401"/>
      <c r="AF38" s="2399" t="s">
        <v>540</v>
      </c>
      <c r="AG38" s="2400"/>
      <c r="AH38" s="2401"/>
      <c r="AI38" s="2411"/>
      <c r="AJ38" s="2414"/>
      <c r="AK38" s="2253"/>
    </row>
    <row customHeight="1" ht="33.75">
      <c r="A39" s="1597"/>
      <c r="B39" s="1597" t="s">
        <v>191</v>
      </c>
      <c r="C39" s="1597" t="s">
        <v>192</v>
      </c>
      <c r="D39" s="1597" t="s">
        <v>193</v>
      </c>
      <c r="E39" s="1591" t="s">
        <v>541</v>
      </c>
      <c r="F39" s="1591" t="s">
        <v>542</v>
      </c>
      <c r="G39" s="1591" t="s">
        <v>543</v>
      </c>
      <c r="H39" s="1591"/>
      <c r="I39" s="1591" t="s">
        <v>594</v>
      </c>
      <c r="J39" s="1591" t="s">
        <v>546</v>
      </c>
      <c r="K39" s="1591" t="s">
        <v>595</v>
      </c>
      <c r="L39" s="1591" t="s">
        <v>522</v>
      </c>
      <c r="Q39" s="598"/>
      <c r="R39" s="598"/>
      <c r="S39" s="2406"/>
      <c r="T39" s="2343"/>
      <c r="U39" s="524"/>
      <c r="V39" s="1679" t="s">
        <v>596</v>
      </c>
      <c r="W39" s="1448" t="s">
        <v>597</v>
      </c>
      <c r="X39" s="1448" t="s">
        <v>598</v>
      </c>
      <c r="Y39" s="1682" t="s">
        <v>550</v>
      </c>
      <c r="Z39" s="2402" t="s">
        <v>551</v>
      </c>
      <c r="AA39" s="2403"/>
      <c r="AB39" s="2412"/>
      <c r="AC39" s="1679" t="s">
        <v>596</v>
      </c>
      <c r="AD39" s="1448" t="s">
        <v>597</v>
      </c>
      <c r="AE39" s="1448" t="s">
        <v>598</v>
      </c>
      <c r="AF39" s="1682" t="s">
        <v>550</v>
      </c>
      <c r="AG39" s="2402" t="s">
        <v>551</v>
      </c>
      <c r="AH39" s="2403"/>
      <c r="AI39" s="2412"/>
      <c r="AJ39" s="2415"/>
      <c r="AK39" s="2253"/>
    </row>
    <row s="16382" customFormat="1" customHeight="1" ht="0">
      <c r="A40" s="1597"/>
      <c r="B40" s="1597"/>
      <c r="C40" s="1597"/>
      <c r="D40" s="1597"/>
      <c r="E40" s="1597"/>
      <c r="F40" s="1597"/>
      <c r="G40" s="1597"/>
      <c r="H40" s="1597"/>
      <c r="I40" s="1597"/>
      <c r="J40" s="1597"/>
      <c r="K40" s="1597"/>
      <c r="L40" s="1591"/>
      <c r="M40" s="1589"/>
      <c r="N40" s="1589"/>
      <c r="O40" s="1589"/>
      <c r="P40" s="1472"/>
      <c r="Q40" s="1473"/>
      <c r="R40" s="1480">
        <v>1</v>
      </c>
      <c r="S40" s="1504" t="s">
        <v>168</v>
      </c>
      <c r="T40" s="1481" t="s">
        <v>99</v>
      </c>
      <c r="U40" s="1471" t="str">
        <f>OFFSET(U40,0,-1)</f>
        <v>2</v>
      </c>
      <c r="V40" s="1678">
        <f>OFFSET(V40,0,-1)+1</f>
        <v>3</v>
      </c>
      <c r="W40" s="1678">
        <f>OFFSET(W40,0,-1)+1</f>
        <v>4</v>
      </c>
      <c r="X40" s="1678">
        <f>OFFSET(X40,0,-1)+1</f>
        <v>5</v>
      </c>
      <c r="Y40" s="1678">
        <f>OFFSET(Y40,0,-1)+1</f>
        <v>6</v>
      </c>
      <c r="Z40" s="2404">
        <f>OFFSET(Z40,0,-1)+1</f>
        <v>7</v>
      </c>
      <c r="AA40" s="2404"/>
      <c r="AB40" s="1678">
        <f>OFFSET(AB40,0,-2)+1</f>
        <v>8</v>
      </c>
      <c r="AC40" s="1678">
        <f>OFFSET(AC40,0,-1)+1</f>
        <v>9</v>
      </c>
      <c r="AD40" s="1678">
        <f>OFFSET(AD40,0,-1)+1</f>
        <v>10</v>
      </c>
      <c r="AE40" s="1678">
        <f>OFFSET(AE40,0,-1)+1</f>
        <v>11</v>
      </c>
      <c r="AF40" s="1678">
        <f>OFFSET(AF40,0,-1)+1</f>
        <v>12</v>
      </c>
      <c r="AG40" s="2404">
        <f>OFFSET(AG40,0,-1)+1</f>
        <v>13</v>
      </c>
      <c r="AH40" s="2404"/>
      <c r="AI40" s="1678">
        <f>OFFSET(AI40,0,-2)+1</f>
        <v>14</v>
      </c>
      <c r="AJ40" s="1471">
        <f>OFFSET(AJ40,0,-1)</f>
        <v>14</v>
      </c>
      <c r="AK40" s="1678">
        <f>OFFSET(AK40,0,-1)+1</f>
        <v>15</v>
      </c>
      <c r="AL40" s="733"/>
      <c r="AM40" s="733"/>
      <c r="AN40" s="733"/>
      <c r="AO40" s="733"/>
      <c r="AP40" s="733"/>
    </row>
    <row customHeight="1" ht="23.25">
      <c r="A41" s="1590" t="s">
        <v>279</v>
      </c>
      <c r="B41" s="1590"/>
      <c r="C41" s="1590"/>
      <c r="D41" s="1590"/>
      <c r="E41" s="2388">
        <v>1</v>
      </c>
      <c r="F41" s="1590"/>
      <c r="G41" s="1590"/>
      <c r="H41" s="1590"/>
      <c r="I41" s="1590"/>
      <c r="J41" s="1590"/>
      <c r="K41" s="1590"/>
      <c r="L41" s="1591"/>
      <c r="M41" s="1592"/>
      <c r="N41" s="1592"/>
      <c r="O41" s="1592"/>
      <c r="P41" s="583"/>
      <c r="Q41" s="582"/>
      <c r="R41" s="577"/>
      <c r="S41" s="1684">
        <f>INDEX(PT_DIFFERENTIATION_NUM_NTAR,MATCH(A41,PT_DIFFERENTIATION_NTAR_ID,0))</f>
        <v>0</v>
      </c>
      <c r="T41" s="520" t="s">
        <v>179</v>
      </c>
      <c r="U41" s="522"/>
      <c r="V41" s="2382"/>
      <c r="W41" s="2383"/>
      <c r="X41" s="2383"/>
      <c r="Y41" s="2383"/>
      <c r="Z41" s="2383"/>
      <c r="AA41" s="2383"/>
      <c r="AB41" s="2384"/>
      <c r="AC41" s="2382" t="str">
        <f>INDEX(PT_DIFFERENTIATION_NTAR,MATCH(A41,PT_DIFFERENTIATION_NTAR_ID,0))</f>
        <v/>
      </c>
      <c r="AD41" s="2383"/>
      <c r="AE41" s="2383"/>
      <c r="AF41" s="2383"/>
      <c r="AG41" s="2383"/>
      <c r="AH41" s="2383"/>
      <c r="AI41" s="2383"/>
      <c r="AJ41" s="2384"/>
      <c r="AK41" s="14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2"/>
      <c r="AN41" s="722" t="str">
        <f>IF(T41="","",T41)</f>
        <v>Наименование тарифа</v>
      </c>
      <c r="AO41" s="722"/>
      <c r="AP41" s="722"/>
    </row>
    <row customHeight="1" ht="23.25">
      <c r="A42" s="1590" t="s">
        <v>279</v>
      </c>
      <c r="B42" s="1590" t="s">
        <v>280</v>
      </c>
      <c r="C42" s="1590"/>
      <c r="D42" s="1590"/>
      <c r="E42" s="2389"/>
      <c r="F42" s="2388">
        <v>1</v>
      </c>
      <c r="G42" s="1590"/>
      <c r="H42" s="1590"/>
      <c r="I42" s="1590"/>
      <c r="J42" s="1590"/>
      <c r="K42" s="1590"/>
      <c r="L42" s="1591"/>
      <c r="M42" s="1592"/>
      <c r="N42" s="1592"/>
      <c r="O42" s="1592"/>
      <c r="P42" s="1680"/>
      <c r="Q42" s="574"/>
      <c r="R42" s="575"/>
      <c r="S42" s="1684" t="str">
        <f>INDEX(PT_DIFFERENTIATION_NUM_TER,MATCH(B42,PT_DIFFERENTIATION_TER_ID,0))</f>
        <v>.</v>
      </c>
      <c r="T42" s="530" t="s">
        <v>503</v>
      </c>
      <c r="U42" s="522"/>
      <c r="V42" s="2382"/>
      <c r="W42" s="2383"/>
      <c r="X42" s="2383"/>
      <c r="Y42" s="2383"/>
      <c r="Z42" s="2383"/>
      <c r="AA42" s="2383"/>
      <c r="AB42" s="2384"/>
      <c r="AC42" s="2382" t="str">
        <f>INDEX(PT_DIFFERENTIATION_TER,MATCH(B42,PT_DIFFERENTIATION_TER_ID,0))</f>
        <v/>
      </c>
      <c r="AD42" s="2383"/>
      <c r="AE42" s="2383"/>
      <c r="AF42" s="2383"/>
      <c r="AG42" s="2383"/>
      <c r="AH42" s="2383"/>
      <c r="AI42" s="2383"/>
      <c r="AJ42" s="2384"/>
      <c r="AK42" s="1484" t="s">
        <v>504</v>
      </c>
      <c r="AM42" s="722"/>
      <c r="AN42" s="722" t="str">
        <f>IF(T42="","",T42)</f>
        <v>Территория действия тарифа</v>
      </c>
      <c r="AO42" s="722"/>
      <c r="AP42" s="722"/>
    </row>
    <row customHeight="1" ht="23.25">
      <c r="A43" s="1590" t="s">
        <v>279</v>
      </c>
      <c r="B43" s="1590" t="s">
        <v>280</v>
      </c>
      <c r="C43" s="1590" t="s">
        <v>281</v>
      </c>
      <c r="D43" s="1590"/>
      <c r="E43" s="2389"/>
      <c r="F43" s="2389"/>
      <c r="G43" s="2388">
        <v>1</v>
      </c>
      <c r="H43" s="1590"/>
      <c r="I43" s="1590"/>
      <c r="J43" s="1590"/>
      <c r="K43" s="1590"/>
      <c r="L43" s="1591"/>
      <c r="M43" s="1592"/>
      <c r="N43" s="1592"/>
      <c r="O43" s="1592"/>
      <c r="P43" s="576"/>
      <c r="Q43" s="574"/>
      <c r="R43" s="575"/>
      <c r="S43" s="1684" t="str">
        <f>INDEX(PT_DIFFERENTIATION_NUM_CS,MATCH(C43,PT_DIFFERENTIATION_CS_ID,0))</f>
        <v>..</v>
      </c>
      <c r="T43" s="531" t="s">
        <v>585</v>
      </c>
      <c r="U43" s="522"/>
      <c r="V43" s="2382"/>
      <c r="W43" s="2383"/>
      <c r="X43" s="2383"/>
      <c r="Y43" s="2383"/>
      <c r="Z43" s="2383"/>
      <c r="AA43" s="2383"/>
      <c r="AB43" s="2384"/>
      <c r="AC43" s="2382" t="str">
        <f>INDEX(PT_DIFFERENTIATION_CS,MATCH(C43,PT_DIFFERENTIATION_CS_ID,0))</f>
        <v/>
      </c>
      <c r="AD43" s="2383"/>
      <c r="AE43" s="2383"/>
      <c r="AF43" s="2383"/>
      <c r="AG43" s="2383"/>
      <c r="AH43" s="2383"/>
      <c r="AI43" s="2383"/>
      <c r="AJ43" s="2384"/>
      <c r="AK43" s="1484" t="s">
        <v>586</v>
      </c>
      <c r="AM43" s="722"/>
      <c r="AN43" s="722" t="str">
        <f>IF(T43="","",T43)</f>
        <v>Наименование централизованной системы холодного водоснабжения</v>
      </c>
      <c r="AO43" s="722"/>
      <c r="AP43" s="722"/>
    </row>
    <row customHeight="1" ht="23.25">
      <c r="A44" s="1590" t="s">
        <v>279</v>
      </c>
      <c r="B44" s="1590" t="s">
        <v>280</v>
      </c>
      <c r="C44" s="1590" t="s">
        <v>281</v>
      </c>
      <c r="D44" s="1590" t="s">
        <v>600</v>
      </c>
      <c r="E44" s="2389"/>
      <c r="F44" s="2389"/>
      <c r="G44" s="2389"/>
      <c r="H44" s="2389"/>
      <c r="I44" s="2390" t="str">
        <f>S43&amp;".1"</f>
        <v>...1</v>
      </c>
      <c r="J44" s="1590"/>
      <c r="K44" s="1590"/>
      <c r="L44" s="1591"/>
      <c r="P44" s="2392">
        <v>1</v>
      </c>
      <c r="Q44" s="1677"/>
      <c r="R44" s="578"/>
      <c r="S44" s="1684" t="str">
        <f>$I44</f>
        <v>...1</v>
      </c>
      <c r="T44" s="507" t="s">
        <v>587</v>
      </c>
      <c r="U44" s="522"/>
      <c r="V44" s="2475"/>
      <c r="W44" s="2476"/>
      <c r="X44" s="2476"/>
      <c r="Y44" s="2476"/>
      <c r="Z44" s="2476"/>
      <c r="AA44" s="2476"/>
      <c r="AB44" s="2477"/>
      <c r="AC44" s="2478"/>
      <c r="AD44" s="2479"/>
      <c r="AE44" s="2479"/>
      <c r="AF44" s="2479"/>
      <c r="AG44" s="2479"/>
      <c r="AH44" s="2479"/>
      <c r="AI44" s="2479"/>
      <c r="AJ44" s="2480"/>
      <c r="AK44" s="1484" t="s">
        <v>588</v>
      </c>
      <c r="AM44" s="722"/>
      <c r="AN44" s="722" t="str">
        <f>IF(T44="","",T44)</f>
        <v>Наименование признака дифференциации</v>
      </c>
      <c r="AO44" s="722"/>
      <c r="AP44" s="722"/>
    </row>
    <row customHeight="1" ht="23.25">
      <c r="A45" s="1590" t="s">
        <v>279</v>
      </c>
      <c r="B45" s="1590" t="s">
        <v>280</v>
      </c>
      <c r="C45" s="1590" t="s">
        <v>281</v>
      </c>
      <c r="D45" s="1590" t="s">
        <v>600</v>
      </c>
      <c r="E45" s="2389"/>
      <c r="F45" s="2389"/>
      <c r="G45" s="2389"/>
      <c r="H45" s="2389"/>
      <c r="I45" s="2391"/>
      <c r="J45" s="2390" t="str">
        <f>I44&amp;".1"</f>
        <v>...1.1</v>
      </c>
      <c r="K45" s="1590"/>
      <c r="L45" s="1591" t="s">
        <v>512</v>
      </c>
      <c r="P45" s="2392"/>
      <c r="Q45" s="2392">
        <v>1</v>
      </c>
      <c r="R45" s="579"/>
      <c r="S45" s="1684" t="str">
        <f>$J45</f>
        <v>...1.1</v>
      </c>
      <c r="T45" s="508" t="s">
        <v>513</v>
      </c>
      <c r="U45" s="522"/>
      <c r="V45" s="2376"/>
      <c r="W45" s="2377"/>
      <c r="X45" s="2377"/>
      <c r="Y45" s="2377"/>
      <c r="Z45" s="2377"/>
      <c r="AA45" s="2377"/>
      <c r="AB45" s="2378"/>
      <c r="AC45" s="2376"/>
      <c r="AD45" s="2377"/>
      <c r="AE45" s="2377"/>
      <c r="AF45" s="2377"/>
      <c r="AG45" s="2377"/>
      <c r="AH45" s="2377"/>
      <c r="AI45" s="2377"/>
      <c r="AJ45" s="2378"/>
      <c r="AK45" s="1534" t="s">
        <v>589</v>
      </c>
      <c r="AM45" s="722"/>
      <c r="AN45" s="722" t="str">
        <f>IF(T45="","",T45)</f>
        <v>Группа потребителей</v>
      </c>
      <c r="AO45" s="722"/>
      <c r="AP45" s="722"/>
    </row>
    <row customHeight="1" ht="23.25">
      <c r="A46" s="1590" t="s">
        <v>279</v>
      </c>
      <c r="B46" s="1590" t="s">
        <v>280</v>
      </c>
      <c r="C46" s="1590" t="s">
        <v>281</v>
      </c>
      <c r="D46" s="1590" t="s">
        <v>600</v>
      </c>
      <c r="E46" s="2389"/>
      <c r="F46" s="2389"/>
      <c r="G46" s="2389"/>
      <c r="H46" s="2389"/>
      <c r="I46" s="2391"/>
      <c r="J46" s="2391"/>
      <c r="K46" s="2390" t="str">
        <f>J45&amp;".1"</f>
        <v>...1.1.1</v>
      </c>
      <c r="L46" s="1591"/>
      <c r="P46" s="2392"/>
      <c r="Q46" s="2392"/>
      <c r="R46" s="579">
        <v>1</v>
      </c>
      <c r="S46" s="1684" t="str">
        <f>$K46</f>
        <v>...1.1.1</v>
      </c>
      <c r="T46" s="1664"/>
      <c r="U46" s="522"/>
      <c r="V46" s="973"/>
      <c r="W46" s="973"/>
      <c r="X46" s="1483"/>
      <c r="Y46" s="2393"/>
      <c r="Z46" s="2263" t="s">
        <v>63</v>
      </c>
      <c r="AA46" s="2393"/>
      <c r="AB46" s="2263" t="s">
        <v>63</v>
      </c>
      <c r="AC46" s="973"/>
      <c r="AD46" s="973"/>
      <c r="AE46" s="1483"/>
      <c r="AF46" s="2393"/>
      <c r="AG46" s="2263" t="s">
        <v>63</v>
      </c>
      <c r="AH46" s="2395"/>
      <c r="AI46" s="2263" t="s">
        <v>63</v>
      </c>
      <c r="AJ46" s="1665"/>
      <c r="AK46" s="24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3">
        <f>STRCHECKDATE(V47:AJ47)</f>
      </c>
      <c r="AM46" s="722"/>
      <c r="AN46" s="722" t="str">
        <f>IF(T46="","",T46)</f>
        <v/>
      </c>
      <c r="AO46" s="722"/>
      <c r="AP46" s="722"/>
    </row>
    <row customHeight="1" ht="0">
      <c r="A47" s="1590" t="s">
        <v>279</v>
      </c>
      <c r="B47" s="1590" t="s">
        <v>280</v>
      </c>
      <c r="C47" s="1590" t="s">
        <v>281</v>
      </c>
      <c r="D47" s="1590" t="s">
        <v>600</v>
      </c>
      <c r="E47" s="2389"/>
      <c r="F47" s="2389"/>
      <c r="G47" s="2389"/>
      <c r="H47" s="2389"/>
      <c r="I47" s="2391"/>
      <c r="J47" s="2391"/>
      <c r="K47" s="2390"/>
      <c r="L47" s="1591"/>
      <c r="P47" s="2392"/>
      <c r="Q47" s="2392"/>
      <c r="R47" s="579"/>
      <c r="S47" s="1683"/>
      <c r="T47" s="522"/>
      <c r="U47" s="522"/>
      <c r="V47" s="547"/>
      <c r="W47" s="547"/>
      <c r="X47" s="550" t="str">
        <f>Y46&amp;"-"&amp;AA46</f>
        <v>-</v>
      </c>
      <c r="Y47" s="2394"/>
      <c r="Z47" s="2263"/>
      <c r="AA47" s="2394"/>
      <c r="AB47" s="2263"/>
      <c r="AC47" s="547"/>
      <c r="AD47" s="547"/>
      <c r="AE47" s="550" t="str">
        <f>AF46&amp;"-"&amp;AH46</f>
        <v>-</v>
      </c>
      <c r="AF47" s="2394"/>
      <c r="AG47" s="2263"/>
      <c r="AH47" s="2396"/>
      <c r="AI47" s="2263"/>
      <c r="AJ47" s="1666"/>
      <c r="AK47" s="2481"/>
      <c r="AM47" s="722"/>
      <c r="AN47" s="722" t="str">
        <f>IF(T47="","",T47)</f>
        <v/>
      </c>
      <c r="AO47" s="722"/>
      <c r="AP47" s="722"/>
    </row>
    <row customHeight="1" ht="21">
      <c r="A48" s="1590" t="s">
        <v>279</v>
      </c>
      <c r="B48" s="1590" t="s">
        <v>280</v>
      </c>
      <c r="C48" s="1590" t="s">
        <v>281</v>
      </c>
      <c r="D48" s="1590" t="s">
        <v>600</v>
      </c>
      <c r="E48" s="2389"/>
      <c r="F48" s="2389"/>
      <c r="G48" s="2389"/>
      <c r="H48" s="2389"/>
      <c r="I48" s="2391"/>
      <c r="J48" s="2390"/>
      <c r="K48" s="1590"/>
      <c r="L48" s="1591"/>
      <c r="P48" s="2392"/>
      <c r="Q48" s="2392"/>
      <c r="R48" s="578"/>
      <c r="S48" s="1505"/>
      <c r="T48" s="509" t="s">
        <v>590</v>
      </c>
      <c r="U48" s="589"/>
      <c r="V48" s="589"/>
      <c r="W48" s="589"/>
      <c r="X48" s="589"/>
      <c r="Y48" s="589"/>
      <c r="Z48" s="589"/>
      <c r="AA48" s="589"/>
      <c r="AB48" s="589"/>
      <c r="AC48" s="589"/>
      <c r="AD48" s="589"/>
      <c r="AE48" s="589"/>
      <c r="AF48" s="589"/>
      <c r="AG48" s="589"/>
      <c r="AH48" s="589"/>
      <c r="AI48" s="589"/>
      <c r="AJ48" s="589"/>
      <c r="AK48" s="1484" t="s">
        <v>591</v>
      </c>
      <c r="AM48" s="722"/>
      <c r="AN48" s="722" t="str">
        <f>IF(T48="","",T48)</f>
        <v>Добавить значение признака дифференциации</v>
      </c>
      <c r="AO48" s="722"/>
      <c r="AP48" s="722"/>
    </row>
    <row customHeight="1" ht="21">
      <c r="A49" s="1590" t="s">
        <v>279</v>
      </c>
      <c r="B49" s="1590" t="s">
        <v>280</v>
      </c>
      <c r="C49" s="1590" t="s">
        <v>281</v>
      </c>
      <c r="D49" s="1590" t="s">
        <v>600</v>
      </c>
      <c r="E49" s="2389"/>
      <c r="F49" s="2389"/>
      <c r="G49" s="2389"/>
      <c r="H49" s="2389"/>
      <c r="I49" s="2390"/>
      <c r="J49" s="1590"/>
      <c r="K49" s="1590"/>
      <c r="L49" s="1591"/>
      <c r="P49" s="2392"/>
      <c r="Q49" s="1677"/>
      <c r="R49" s="578"/>
      <c r="S49" s="1505"/>
      <c r="T49" s="587" t="s">
        <v>518</v>
      </c>
      <c r="U49" s="589"/>
      <c r="V49" s="589"/>
      <c r="W49" s="589"/>
      <c r="X49" s="589"/>
      <c r="Y49" s="589"/>
      <c r="Z49" s="589"/>
      <c r="AA49" s="589"/>
      <c r="AB49" s="588"/>
      <c r="AC49" s="589"/>
      <c r="AD49" s="589"/>
      <c r="AE49" s="589"/>
      <c r="AF49" s="589"/>
      <c r="AG49" s="589"/>
      <c r="AH49" s="589"/>
      <c r="AI49" s="588"/>
      <c r="AJ49" s="589"/>
      <c r="AK49" s="1667"/>
      <c r="AM49" s="722"/>
      <c r="AN49" s="722" t="str">
        <f>IF(T49="","",T49)</f>
        <v>Добавить группу потребителей</v>
      </c>
      <c r="AO49" s="722"/>
      <c r="AP49" s="722"/>
    </row>
    <row customHeight="1" ht="21">
      <c r="A50" s="1590" t="s">
        <v>279</v>
      </c>
      <c r="B50" s="1590" t="s">
        <v>280</v>
      </c>
      <c r="C50" s="1590" t="s">
        <v>281</v>
      </c>
      <c r="D50" s="1590" t="s">
        <v>600</v>
      </c>
      <c r="E50" s="2389"/>
      <c r="F50" s="2389"/>
      <c r="G50" s="2389"/>
      <c r="H50" s="2388"/>
      <c r="I50" s="1590"/>
      <c r="J50" s="1590"/>
      <c r="K50" s="1590"/>
      <c r="L50" s="1591"/>
      <c r="M50" s="1592"/>
      <c r="N50" s="1592"/>
      <c r="O50" s="759"/>
      <c r="P50" s="582"/>
      <c r="Q50" s="597"/>
      <c r="R50" s="577"/>
      <c r="S50" s="1505"/>
      <c r="T50" s="594" t="s">
        <v>592</v>
      </c>
      <c r="U50" s="589"/>
      <c r="V50" s="589"/>
      <c r="W50" s="589"/>
      <c r="X50" s="589"/>
      <c r="Y50" s="589"/>
      <c r="Z50" s="589"/>
      <c r="AA50" s="589"/>
      <c r="AB50" s="588"/>
      <c r="AC50" s="589"/>
      <c r="AD50" s="589"/>
      <c r="AE50" s="589"/>
      <c r="AF50" s="589"/>
      <c r="AG50" s="589"/>
      <c r="AH50" s="589"/>
      <c r="AI50" s="588"/>
      <c r="AJ50" s="589"/>
      <c r="AK50" s="525"/>
      <c r="AM50" s="722"/>
      <c r="AN50" s="722" t="str">
        <f>IF(T50="","",T50)</f>
        <v>Добавить наименование признака дифференциации</v>
      </c>
      <c r="AO50" s="722"/>
      <c r="AP50" s="722"/>
    </row>
    <row s="16531" customFormat="1" customHeight="1" ht="0">
      <c r="A51" s="1570" t="s">
        <v>279</v>
      </c>
      <c r="B51" s="1570" t="s">
        <v>280</v>
      </c>
      <c r="C51" s="1541"/>
      <c r="D51" s="1541"/>
      <c r="E51" s="2389"/>
      <c r="F51" s="2388"/>
      <c r="G51" s="1541"/>
      <c r="H51" s="1541"/>
      <c r="I51" s="1541"/>
      <c r="J51" s="1541"/>
      <c r="K51" s="1541"/>
      <c r="L51" s="1685"/>
      <c r="M51" s="1548"/>
      <c r="N51" s="1548"/>
      <c r="P51" s="1543"/>
      <c r="Q51" s="1544"/>
      <c r="R51" s="1543"/>
      <c r="S51" s="1549"/>
      <c r="T51" s="1552" t="s">
        <v>305</v>
      </c>
      <c r="U51" s="1551"/>
      <c r="V51" s="1551"/>
      <c r="W51" s="1551"/>
      <c r="X51" s="1551"/>
      <c r="Y51" s="1551"/>
      <c r="Z51" s="1551"/>
      <c r="AA51" s="1551"/>
      <c r="AB51" s="1551"/>
      <c r="AC51" s="1551"/>
      <c r="AD51" s="1551"/>
      <c r="AE51" s="1551"/>
      <c r="AF51" s="1551"/>
      <c r="AG51" s="1551"/>
      <c r="AH51" s="1551"/>
      <c r="AI51" s="1551"/>
      <c r="AJ51" s="1551"/>
      <c r="AK51" s="1551"/>
      <c r="AM51" s="1011"/>
      <c r="AN51" s="1011" t="str">
        <f>IF(T51="","",T51)</f>
        <v>Добавить централизованную систему для дифференциации</v>
      </c>
      <c r="AO51" s="1011"/>
      <c r="AP51" s="1011"/>
    </row>
    <row s="16622" customFormat="1" customHeight="1" ht="0">
      <c r="A52" s="1570" t="s">
        <v>279</v>
      </c>
      <c r="B52" s="1570"/>
      <c r="C52" s="1570"/>
      <c r="D52" s="1570"/>
      <c r="E52" s="2388"/>
      <c r="F52" s="1570"/>
      <c r="G52" s="1570"/>
      <c r="H52" s="1570"/>
      <c r="I52" s="1570"/>
      <c r="J52" s="1570"/>
      <c r="K52" s="1570"/>
      <c r="L52" s="1573"/>
      <c r="M52" s="1548"/>
      <c r="N52" s="1548"/>
      <c r="O52" s="740"/>
      <c r="P52" s="602"/>
      <c r="Q52" s="1571"/>
      <c r="R52" s="602"/>
      <c r="S52" s="1549"/>
      <c r="T52" s="1552" t="s">
        <v>358</v>
      </c>
      <c r="U52" s="1551"/>
      <c r="V52" s="1551"/>
      <c r="W52" s="1551"/>
      <c r="X52" s="1551"/>
      <c r="Y52" s="1551"/>
      <c r="Z52" s="1551"/>
      <c r="AA52" s="1551"/>
      <c r="AB52" s="1551"/>
      <c r="AC52" s="1551"/>
      <c r="AD52" s="1551"/>
      <c r="AE52" s="1551"/>
      <c r="AF52" s="1551"/>
      <c r="AG52" s="1551"/>
      <c r="AH52" s="1551"/>
      <c r="AI52" s="1551"/>
      <c r="AJ52" s="1551"/>
      <c r="AK52" s="1551"/>
      <c r="AM52" s="722"/>
      <c r="AN52" s="722" t="str">
        <f>IF(T52="","",T52)</f>
        <v>Добавить территорию для дифференциации</v>
      </c>
      <c r="AO52" s="722"/>
      <c r="AP52" s="722"/>
    </row>
    <row s="16531"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359</v>
      </c>
      <c r="U53" s="1551"/>
      <c r="V53" s="1551"/>
      <c r="W53" s="1551"/>
      <c r="X53" s="1551"/>
      <c r="Y53" s="1551"/>
      <c r="Z53" s="1551"/>
      <c r="AA53" s="1551"/>
      <c r="AB53" s="1551"/>
      <c r="AC53" s="1551"/>
      <c r="AD53" s="1551"/>
      <c r="AE53" s="1551"/>
      <c r="AF53" s="1551"/>
      <c r="AG53" s="1551"/>
      <c r="AH53" s="1551"/>
      <c r="AI53" s="1551"/>
      <c r="AJ53" s="1551"/>
      <c r="AK53" s="1551"/>
      <c r="AM53" s="1011"/>
      <c r="AN53" s="1011" t="str">
        <f>IF(T53="","",T53)</f>
        <v>Добавить наименование тарифа</v>
      </c>
      <c r="AO53" s="1011"/>
      <c r="AP53" s="1011"/>
    </row>
    <row customHeight="1" ht="11.25">
      <c r="M54" s="1384"/>
      <c r="N54" s="1384"/>
      <c r="O54" s="759"/>
      <c r="P54" s="1379"/>
      <c r="Q54" s="1379"/>
      <c r="R54" s="1379"/>
      <c r="S54" s="1379"/>
      <c r="AL54" s="1379"/>
      <c r="AM54" s="1379"/>
      <c r="AN54" s="1379"/>
      <c r="AO54" s="1379"/>
      <c r="AP54" s="1379"/>
    </row>
    <row customHeight="1" ht="14.25">
      <c r="O55" s="759"/>
      <c r="S55" s="1479"/>
      <c r="T55" s="2387"/>
      <c r="U55" s="2387"/>
      <c r="V55" s="2387"/>
      <c r="W55" s="2387"/>
      <c r="X55" s="2387"/>
      <c r="Y55" s="2387"/>
      <c r="Z55" s="2387"/>
      <c r="AA55" s="2387"/>
      <c r="AB55" s="2387"/>
      <c r="AC55" s="2387"/>
      <c r="AD55" s="2387"/>
      <c r="AE55" s="2387"/>
      <c r="AF55" s="2387"/>
      <c r="AG55" s="2387"/>
      <c r="AH55" s="2387"/>
      <c r="AI55" s="2387"/>
      <c r="AJ55" s="2387"/>
      <c r="AK55" s="2387"/>
    </row>
    <row customHeight="1" ht="14.25">
      <c r="O56" s="759"/>
    </row>
    <row customHeight="1" ht="14.25">
      <c r="O57" s="759"/>
      <c r="S57" s="1479"/>
      <c r="T57" s="2387"/>
      <c r="U57" s="2387"/>
      <c r="V57" s="2387"/>
      <c r="W57" s="2387"/>
      <c r="X57" s="2387"/>
      <c r="Y57" s="2387"/>
      <c r="Z57" s="2387"/>
      <c r="AA57" s="2387"/>
      <c r="AB57" s="2387"/>
      <c r="AC57" s="2387"/>
      <c r="AD57" s="2387"/>
      <c r="AE57" s="2387"/>
      <c r="AF57" s="2387"/>
      <c r="AG57" s="2387"/>
      <c r="AH57" s="2387"/>
      <c r="AI57" s="2387"/>
      <c r="AJ57" s="2387"/>
      <c r="AK57" s="2387"/>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7237C3-6847-333D-3CD7-748CB05C31A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6550" width="10.57421875" hidden="1"/>
    <col min="2" max="2" style="16550" width="11.00390625" hidden="1" customWidth="1"/>
    <col min="3" max="3" style="16550" width="10.57421875" hidden="1"/>
    <col min="4" max="4" style="16550" width="11.8515625" hidden="1" customWidth="1"/>
    <col min="5" max="5" style="16550" width="10.00390625" hidden="1" customWidth="1"/>
    <col min="6" max="6" style="16550" width="8.7109375" hidden="1" customWidth="1"/>
    <col min="7" max="7" style="16550" width="7.57421875" hidden="1" customWidth="1"/>
    <col min="8" max="8" style="16550" width="11.421875" hidden="1" customWidth="1"/>
    <col min="9" max="9" style="16550" width="14.140625" hidden="1" customWidth="1"/>
    <col min="10" max="10" style="16550" width="9.8515625" hidden="1" customWidth="1"/>
    <col min="11" max="11" style="16550" width="14.7109375" hidden="1" customWidth="1"/>
    <col min="12" max="12" style="16843" width="19.140625" hidden="1" customWidth="1"/>
    <col min="13" max="14" style="16631" width="12.28125" hidden="1" customWidth="1"/>
    <col min="15" max="15" style="16631" width="23.421875" hidden="1" customWidth="1"/>
    <col min="16" max="16" style="16844" width="3.7109375" customWidth="1"/>
    <col min="17" max="18" style="16633" width="3.7109375" customWidth="1"/>
    <col min="19" max="19" style="16634" width="12.7109375" customWidth="1"/>
    <col min="20" max="20" style="16635" width="35.7109375" customWidth="1"/>
    <col min="21" max="21" style="16635" width="0.140625" customWidth="1"/>
    <col min="22" max="24" style="16635" width="24.7109375" hidden="1" customWidth="1"/>
    <col min="25" max="25" style="16635" width="11.7109375" hidden="1" customWidth="1"/>
    <col min="26" max="26" style="16635" width="3.7109375" hidden="1" customWidth="1"/>
    <col min="27" max="27" style="16635" width="11.7109375" hidden="1" customWidth="1"/>
    <col min="28" max="28" style="16635" width="8.57421875" hidden="1" customWidth="1"/>
    <col min="29" max="31" style="16635" width="24.7109375" customWidth="1"/>
    <col min="32" max="32" style="16635" width="11.7109375" customWidth="1"/>
    <col min="33" max="33" style="16635" width="3.7109375" customWidth="1"/>
    <col min="34" max="34" style="16635" width="11.7109375" customWidth="1"/>
    <col min="35" max="35" style="16635" width="8.57421875" hidden="1" customWidth="1"/>
    <col min="36" max="36" style="16635" width="4.7109375" customWidth="1"/>
    <col min="37" max="37" style="16635" width="115.7109375" customWidth="1"/>
    <col min="38" max="39" style="16622" width="10.57421875"/>
    <col min="40" max="40" style="16622" width="11.140625" customWidth="1"/>
    <col min="41" max="42" style="16622" width="10.57421875"/>
  </cols>
  <sheetData>
    <row customHeight="1" ht="14.25" hidden="1">
      <c r="X1" s="549"/>
      <c r="Y1" s="549"/>
      <c r="AE1" s="549"/>
      <c r="AF1" s="549"/>
    </row>
    <row customHeight="1" ht="23.25" hidden="1">
      <c r="A2" s="1590"/>
      <c r="B2" s="1590"/>
      <c r="C2" s="1590"/>
      <c r="D2" s="1590"/>
      <c r="E2" s="2388">
        <v>1</v>
      </c>
      <c r="F2" s="1590"/>
      <c r="G2" s="1590"/>
      <c r="H2" s="1590"/>
      <c r="I2" s="1590"/>
      <c r="J2" s="1590"/>
      <c r="K2" s="1590"/>
      <c r="L2" s="1591"/>
      <c r="M2" s="1592"/>
      <c r="N2" s="1592"/>
      <c r="O2" s="1592"/>
      <c r="P2" s="583"/>
      <c r="Q2" s="582"/>
      <c r="R2" s="577"/>
      <c r="S2" s="1684">
        <f>INDEX(PT_DIFFERENTIATION_NUM_NTAR,MATCH(A2,PT_DIFFERENTIATION_NTAR_ID,0))</f>
      </c>
      <c r="T2" s="520" t="s">
        <v>179</v>
      </c>
      <c r="U2" s="522"/>
      <c r="V2" s="2382"/>
      <c r="W2" s="2383"/>
      <c r="X2" s="2383"/>
      <c r="Y2" s="2383"/>
      <c r="Z2" s="2383"/>
      <c r="AA2" s="2383"/>
      <c r="AB2" s="2384"/>
      <c r="AC2" s="2382">
        <f>INDEX(PT_DIFFERENTIATION_NTAR,MATCH(A2,PT_DIFFERENTIATION_NTAR_ID,0))</f>
      </c>
      <c r="AD2" s="2383"/>
      <c r="AE2" s="2383"/>
      <c r="AF2" s="2383"/>
      <c r="AG2" s="2383"/>
      <c r="AH2" s="2383"/>
      <c r="AI2" s="2383"/>
      <c r="AJ2" s="2384"/>
      <c r="AK2" s="14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2"/>
      <c r="AN2" s="722" t="str">
        <f>IF(T2="","",T2)</f>
        <v>Наименование тарифа</v>
      </c>
      <c r="AO2" s="722"/>
      <c r="AP2" s="722"/>
    </row>
    <row customHeight="1" ht="23.25" hidden="1">
      <c r="A3" s="1590"/>
      <c r="B3" s="1590"/>
      <c r="C3" s="1590"/>
      <c r="D3" s="1590"/>
      <c r="E3" s="2389"/>
      <c r="F3" s="2388">
        <v>1</v>
      </c>
      <c r="G3" s="1590"/>
      <c r="H3" s="1590"/>
      <c r="I3" s="1590"/>
      <c r="J3" s="1590"/>
      <c r="K3" s="1590"/>
      <c r="L3" s="1591"/>
      <c r="M3" s="1592"/>
      <c r="N3" s="1592"/>
      <c r="O3" s="1592"/>
      <c r="P3" s="1680"/>
      <c r="Q3" s="574"/>
      <c r="R3" s="575"/>
      <c r="S3" s="1684">
        <f>INDEX(PT_DIFFERENTIATION_NUM_TER,MATCH(B3,PT_DIFFERENTIATION_TER_ID,0))</f>
      </c>
      <c r="T3" s="530" t="s">
        <v>503</v>
      </c>
      <c r="U3" s="522"/>
      <c r="V3" s="2382"/>
      <c r="W3" s="2383"/>
      <c r="X3" s="2383"/>
      <c r="Y3" s="2383"/>
      <c r="Z3" s="2383"/>
      <c r="AA3" s="2383"/>
      <c r="AB3" s="2384"/>
      <c r="AC3" s="2382">
        <f>INDEX(PT_DIFFERENTIATION_TER,MATCH(B3,PT_DIFFERENTIATION_TER_ID,0))</f>
      </c>
      <c r="AD3" s="2383"/>
      <c r="AE3" s="2383"/>
      <c r="AF3" s="2383"/>
      <c r="AG3" s="2383"/>
      <c r="AH3" s="2383"/>
      <c r="AI3" s="2383"/>
      <c r="AJ3" s="2384"/>
      <c r="AK3" s="1484" t="s">
        <v>504</v>
      </c>
      <c r="AM3" s="722"/>
      <c r="AN3" s="722" t="str">
        <f>IF(T3="","",T3)</f>
        <v>Территория действия тарифа</v>
      </c>
      <c r="AO3" s="722"/>
      <c r="AP3" s="722"/>
    </row>
    <row customHeight="1" ht="23.25" hidden="1">
      <c r="A4" s="1590"/>
      <c r="B4" s="1590"/>
      <c r="C4" s="1590"/>
      <c r="D4" s="1590"/>
      <c r="E4" s="2389"/>
      <c r="F4" s="2389"/>
      <c r="G4" s="2388">
        <v>1</v>
      </c>
      <c r="H4" s="1590"/>
      <c r="I4" s="1590"/>
      <c r="J4" s="1590"/>
      <c r="K4" s="1590"/>
      <c r="L4" s="1591"/>
      <c r="M4" s="1592"/>
      <c r="N4" s="1592"/>
      <c r="O4" s="1592"/>
      <c r="P4" s="576"/>
      <c r="Q4" s="574"/>
      <c r="R4" s="575"/>
      <c r="S4" s="1684">
        <f>INDEX(PT_DIFFERENTIATION_NUM_CS,MATCH(C4,PT_DIFFERENTIATION_CS_ID,0))</f>
      </c>
      <c r="T4" s="531" t="s">
        <v>585</v>
      </c>
      <c r="U4" s="522"/>
      <c r="V4" s="2382"/>
      <c r="W4" s="2383"/>
      <c r="X4" s="2383"/>
      <c r="Y4" s="2383"/>
      <c r="Z4" s="2383"/>
      <c r="AA4" s="2383"/>
      <c r="AB4" s="2384"/>
      <c r="AC4" s="2382">
        <f>INDEX(PT_DIFFERENTIATION_CS,MATCH(C4,PT_DIFFERENTIATION_CS_ID,0))</f>
      </c>
      <c r="AD4" s="2383"/>
      <c r="AE4" s="2383"/>
      <c r="AF4" s="2383"/>
      <c r="AG4" s="2383"/>
      <c r="AH4" s="2383"/>
      <c r="AI4" s="2383"/>
      <c r="AJ4" s="2384"/>
      <c r="AK4" s="1484" t="s">
        <v>586</v>
      </c>
      <c r="AM4" s="722"/>
      <c r="AN4" s="722" t="str">
        <f>IF(T4="","",T4)</f>
        <v>Наименование централизованной системы холодного водоснабжения</v>
      </c>
      <c r="AO4" s="722"/>
      <c r="AP4" s="722"/>
    </row>
    <row customHeight="1" ht="23.25" hidden="1">
      <c r="A5" s="1590"/>
      <c r="B5" s="1590"/>
      <c r="C5" s="1590"/>
      <c r="D5" s="1590"/>
      <c r="E5" s="2389"/>
      <c r="F5" s="2389"/>
      <c r="G5" s="2389"/>
      <c r="H5" s="2389"/>
      <c r="I5" s="2390">
        <f>S4&amp;".1"</f>
      </c>
      <c r="J5" s="1590"/>
      <c r="K5" s="1590"/>
      <c r="L5" s="1591"/>
      <c r="P5" s="2392">
        <v>1</v>
      </c>
      <c r="Q5" s="1677"/>
      <c r="R5" s="578"/>
      <c r="S5" s="1684">
        <f>$I5</f>
      </c>
      <c r="T5" s="507" t="s">
        <v>587</v>
      </c>
      <c r="U5" s="522"/>
      <c r="V5" s="2475"/>
      <c r="W5" s="2476"/>
      <c r="X5" s="2476"/>
      <c r="Y5" s="2476"/>
      <c r="Z5" s="2476"/>
      <c r="AA5" s="2476"/>
      <c r="AB5" s="2477"/>
      <c r="AC5" s="2478"/>
      <c r="AD5" s="2479"/>
      <c r="AE5" s="2479"/>
      <c r="AF5" s="2479"/>
      <c r="AG5" s="2479"/>
      <c r="AH5" s="2479"/>
      <c r="AI5" s="2479"/>
      <c r="AJ5" s="2480"/>
      <c r="AK5" s="1484" t="s">
        <v>588</v>
      </c>
      <c r="AM5" s="722"/>
      <c r="AN5" s="722" t="str">
        <f>IF(T5="","",T5)</f>
        <v>Наименование признака дифференциации</v>
      </c>
      <c r="AO5" s="722"/>
      <c r="AP5" s="722"/>
    </row>
    <row customHeight="1" ht="23.25" hidden="1">
      <c r="A6" s="1590"/>
      <c r="B6" s="1590"/>
      <c r="C6" s="1590"/>
      <c r="D6" s="1590"/>
      <c r="E6" s="2389"/>
      <c r="F6" s="2389"/>
      <c r="G6" s="2389"/>
      <c r="H6" s="2389"/>
      <c r="I6" s="2391"/>
      <c r="J6" s="2390">
        <f>I5&amp;".1"</f>
      </c>
      <c r="K6" s="1590"/>
      <c r="L6" s="1591" t="s">
        <v>512</v>
      </c>
      <c r="P6" s="2392"/>
      <c r="Q6" s="2392">
        <v>1</v>
      </c>
      <c r="R6" s="579"/>
      <c r="S6" s="1684">
        <f>$J6</f>
      </c>
      <c r="T6" s="508" t="s">
        <v>513</v>
      </c>
      <c r="U6" s="522"/>
      <c r="V6" s="2376"/>
      <c r="W6" s="2377"/>
      <c r="X6" s="2377"/>
      <c r="Y6" s="2377"/>
      <c r="Z6" s="2377"/>
      <c r="AA6" s="2377"/>
      <c r="AB6" s="2378"/>
      <c r="AC6" s="2376"/>
      <c r="AD6" s="2377"/>
      <c r="AE6" s="2377"/>
      <c r="AF6" s="2377"/>
      <c r="AG6" s="2377"/>
      <c r="AH6" s="2377"/>
      <c r="AI6" s="2377"/>
      <c r="AJ6" s="2378"/>
      <c r="AK6" s="1534" t="s">
        <v>589</v>
      </c>
      <c r="AM6" s="722"/>
      <c r="AN6" s="722" t="str">
        <f>IF(T6="","",T6)</f>
        <v>Группа потребителей</v>
      </c>
      <c r="AO6" s="722"/>
      <c r="AP6" s="722"/>
    </row>
    <row customHeight="1" ht="23.25" hidden="1">
      <c r="A7" s="1590"/>
      <c r="B7" s="1590"/>
      <c r="C7" s="1590"/>
      <c r="D7" s="1590"/>
      <c r="E7" s="2389"/>
      <c r="F7" s="2389"/>
      <c r="G7" s="2389"/>
      <c r="H7" s="2389"/>
      <c r="I7" s="2391"/>
      <c r="J7" s="2391"/>
      <c r="K7" s="2390">
        <f>J6&amp;".1"</f>
      </c>
      <c r="L7" s="1591"/>
      <c r="P7" s="2392"/>
      <c r="Q7" s="2392"/>
      <c r="R7" s="579">
        <v>1</v>
      </c>
      <c r="S7" s="1684">
        <f>$K7</f>
      </c>
      <c r="T7" s="1664"/>
      <c r="U7" s="522"/>
      <c r="V7" s="973"/>
      <c r="W7" s="973"/>
      <c r="X7" s="1483"/>
      <c r="Y7" s="2393"/>
      <c r="Z7" s="2263" t="s">
        <v>63</v>
      </c>
      <c r="AA7" s="2393"/>
      <c r="AB7" s="2263" t="s">
        <v>63</v>
      </c>
      <c r="AC7" s="973"/>
      <c r="AD7" s="973"/>
      <c r="AE7" s="1483"/>
      <c r="AF7" s="2393"/>
      <c r="AG7" s="2263" t="s">
        <v>63</v>
      </c>
      <c r="AH7" s="2395"/>
      <c r="AI7" s="2263" t="s">
        <v>63</v>
      </c>
      <c r="AJ7" s="1665"/>
      <c r="AK7" s="24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3">
        <f>STRCHECKDATE(V8:AJ8)</f>
      </c>
      <c r="AM7" s="722"/>
      <c r="AN7" s="722" t="str">
        <f>IF(T7="","",T7)</f>
        <v/>
      </c>
      <c r="AO7" s="722"/>
      <c r="AP7" s="722"/>
    </row>
    <row customHeight="1" ht="14.25" hidden="1">
      <c r="A8" s="1590"/>
      <c r="B8" s="1590"/>
      <c r="C8" s="1590"/>
      <c r="D8" s="1590"/>
      <c r="E8" s="2389"/>
      <c r="F8" s="2389"/>
      <c r="G8" s="2389"/>
      <c r="H8" s="2389"/>
      <c r="I8" s="2391"/>
      <c r="J8" s="2391"/>
      <c r="K8" s="2390"/>
      <c r="L8" s="1591"/>
      <c r="P8" s="2392"/>
      <c r="Q8" s="2392"/>
      <c r="R8" s="579"/>
      <c r="S8" s="1683"/>
      <c r="T8" s="522"/>
      <c r="U8" s="522"/>
      <c r="V8" s="547"/>
      <c r="W8" s="547"/>
      <c r="X8" s="550" t="str">
        <f>Y7&amp;"-"&amp;AA7</f>
        <v>-</v>
      </c>
      <c r="Y8" s="2394"/>
      <c r="Z8" s="2263"/>
      <c r="AA8" s="2394"/>
      <c r="AB8" s="2263"/>
      <c r="AC8" s="547"/>
      <c r="AD8" s="547"/>
      <c r="AE8" s="550" t="str">
        <f>AF7&amp;"-"&amp;AH7</f>
        <v>-</v>
      </c>
      <c r="AF8" s="2394"/>
      <c r="AG8" s="2263"/>
      <c r="AH8" s="2396"/>
      <c r="AI8" s="2263"/>
      <c r="AJ8" s="1666"/>
      <c r="AK8" s="2481"/>
      <c r="AM8" s="722"/>
      <c r="AN8" s="722" t="str">
        <f>IF(T8="","",T8)</f>
        <v/>
      </c>
      <c r="AO8" s="722"/>
      <c r="AP8" s="722"/>
    </row>
    <row customHeight="1" ht="21" hidden="1">
      <c r="A9" s="1590"/>
      <c r="B9" s="1590"/>
      <c r="C9" s="1590"/>
      <c r="D9" s="1590"/>
      <c r="E9" s="2389"/>
      <c r="F9" s="2389"/>
      <c r="G9" s="2389"/>
      <c r="H9" s="2389"/>
      <c r="I9" s="2391"/>
      <c r="J9" s="2390"/>
      <c r="K9" s="1590"/>
      <c r="L9" s="1591"/>
      <c r="P9" s="2392"/>
      <c r="Q9" s="2392"/>
      <c r="R9" s="578"/>
      <c r="S9" s="1505"/>
      <c r="T9" s="509" t="s">
        <v>590</v>
      </c>
      <c r="U9" s="589"/>
      <c r="V9" s="589"/>
      <c r="W9" s="589"/>
      <c r="X9" s="589"/>
      <c r="Y9" s="589"/>
      <c r="Z9" s="589"/>
      <c r="AA9" s="589"/>
      <c r="AB9" s="589"/>
      <c r="AC9" s="589"/>
      <c r="AD9" s="589"/>
      <c r="AE9" s="589"/>
      <c r="AF9" s="589"/>
      <c r="AG9" s="589"/>
      <c r="AH9" s="589"/>
      <c r="AI9" s="589"/>
      <c r="AJ9" s="589"/>
      <c r="AK9" s="1484" t="s">
        <v>591</v>
      </c>
      <c r="AM9" s="722"/>
      <c r="AN9" s="722" t="str">
        <f>IF(T9="","",T9)</f>
        <v>Добавить значение признака дифференциации</v>
      </c>
      <c r="AO9" s="722"/>
      <c r="AP9" s="722"/>
    </row>
    <row customHeight="1" ht="21" hidden="1">
      <c r="A10" s="1590"/>
      <c r="B10" s="1590"/>
      <c r="C10" s="1590"/>
      <c r="D10" s="1590"/>
      <c r="E10" s="2389"/>
      <c r="F10" s="2389"/>
      <c r="G10" s="2389"/>
      <c r="H10" s="2389"/>
      <c r="I10" s="2390"/>
      <c r="J10" s="1590"/>
      <c r="K10" s="1590"/>
      <c r="L10" s="1591"/>
      <c r="P10" s="2392"/>
      <c r="Q10" s="1677"/>
      <c r="R10" s="578"/>
      <c r="S10" s="1505"/>
      <c r="T10" s="587" t="s">
        <v>518</v>
      </c>
      <c r="U10" s="589"/>
      <c r="V10" s="589"/>
      <c r="W10" s="589"/>
      <c r="X10" s="589"/>
      <c r="Y10" s="589"/>
      <c r="Z10" s="589"/>
      <c r="AA10" s="589"/>
      <c r="AB10" s="588"/>
      <c r="AC10" s="589"/>
      <c r="AD10" s="589"/>
      <c r="AE10" s="589"/>
      <c r="AF10" s="589"/>
      <c r="AG10" s="589"/>
      <c r="AH10" s="589"/>
      <c r="AI10" s="588"/>
      <c r="AJ10" s="589"/>
      <c r="AK10" s="1667"/>
      <c r="AM10" s="722"/>
      <c r="AN10" s="722" t="str">
        <f>IF(T10="","",T10)</f>
        <v>Добавить группу потребителей</v>
      </c>
      <c r="AO10" s="722"/>
      <c r="AP10" s="722"/>
    </row>
    <row customHeight="1" ht="21" hidden="1">
      <c r="A11" s="1590"/>
      <c r="B11" s="1590"/>
      <c r="C11" s="1590"/>
      <c r="D11" s="1590"/>
      <c r="E11" s="2389"/>
      <c r="F11" s="2389"/>
      <c r="G11" s="2389"/>
      <c r="H11" s="2388"/>
      <c r="I11" s="1590"/>
      <c r="J11" s="1590"/>
      <c r="K11" s="1590"/>
      <c r="L11" s="1591"/>
      <c r="M11" s="1592"/>
      <c r="N11" s="1592"/>
      <c r="O11" s="759"/>
      <c r="P11" s="582"/>
      <c r="Q11" s="597"/>
      <c r="R11" s="577"/>
      <c r="S11" s="1505"/>
      <c r="T11" s="594" t="s">
        <v>592</v>
      </c>
      <c r="U11" s="589"/>
      <c r="V11" s="589"/>
      <c r="W11" s="589"/>
      <c r="X11" s="589"/>
      <c r="Y11" s="589"/>
      <c r="Z11" s="589"/>
      <c r="AA11" s="589"/>
      <c r="AB11" s="588"/>
      <c r="AC11" s="589"/>
      <c r="AD11" s="589"/>
      <c r="AE11" s="589"/>
      <c r="AF11" s="589"/>
      <c r="AG11" s="589"/>
      <c r="AH11" s="589"/>
      <c r="AI11" s="588"/>
      <c r="AJ11" s="589"/>
      <c r="AK11" s="525"/>
      <c r="AM11" s="722"/>
      <c r="AN11" s="722" t="str">
        <f>IF(T11="","",T11)</f>
        <v>Добавить наименование признака дифференциации</v>
      </c>
      <c r="AO11" s="722"/>
      <c r="AP11" s="722"/>
    </row>
    <row s="16531" customFormat="1" customHeight="1" ht="14.25" hidden="1">
      <c r="A12" s="1570"/>
      <c r="B12" s="1570"/>
      <c r="C12" s="1541"/>
      <c r="D12" s="1541"/>
      <c r="E12" s="2389"/>
      <c r="F12" s="2388"/>
      <c r="G12" s="1541"/>
      <c r="H12" s="1541"/>
      <c r="I12" s="1541"/>
      <c r="J12" s="1541"/>
      <c r="K12" s="1541"/>
      <c r="L12" s="1685"/>
      <c r="M12" s="1548"/>
      <c r="N12" s="1548"/>
      <c r="P12" s="1543"/>
      <c r="Q12" s="1544"/>
      <c r="R12" s="1543"/>
      <c r="S12" s="1549"/>
      <c r="T12" s="1552" t="s">
        <v>305</v>
      </c>
      <c r="U12" s="1551"/>
      <c r="V12" s="1551"/>
      <c r="W12" s="1551"/>
      <c r="X12" s="1551"/>
      <c r="Y12" s="1551"/>
      <c r="Z12" s="1551"/>
      <c r="AA12" s="1551"/>
      <c r="AB12" s="1551"/>
      <c r="AC12" s="1551"/>
      <c r="AD12" s="1551"/>
      <c r="AE12" s="1551"/>
      <c r="AF12" s="1551"/>
      <c r="AG12" s="1551"/>
      <c r="AH12" s="1551"/>
      <c r="AI12" s="1551"/>
      <c r="AJ12" s="1551"/>
      <c r="AK12" s="1551"/>
      <c r="AM12" s="1011"/>
      <c r="AN12" s="1011" t="str">
        <f>IF(T12="","",T12)</f>
        <v>Добавить централизованную систему для дифференциации</v>
      </c>
      <c r="AO12" s="1011"/>
      <c r="AP12" s="1011"/>
    </row>
    <row s="16622" customFormat="1" customHeight="1" ht="14.25" hidden="1">
      <c r="A13" s="1570"/>
      <c r="B13" s="1570"/>
      <c r="C13" s="1570"/>
      <c r="D13" s="1570"/>
      <c r="E13" s="2388"/>
      <c r="F13" s="1570"/>
      <c r="G13" s="1570"/>
      <c r="H13" s="1570"/>
      <c r="I13" s="1570"/>
      <c r="J13" s="1570"/>
      <c r="K13" s="1570"/>
      <c r="L13" s="1573"/>
      <c r="M13" s="1548"/>
      <c r="N13" s="1548"/>
      <c r="O13" s="740"/>
      <c r="P13" s="602"/>
      <c r="Q13" s="1571"/>
      <c r="R13" s="602"/>
      <c r="S13" s="1549"/>
      <c r="T13" s="1552" t="s">
        <v>358</v>
      </c>
      <c r="U13" s="1551"/>
      <c r="V13" s="1551"/>
      <c r="W13" s="1551"/>
      <c r="X13" s="1551"/>
      <c r="Y13" s="1551"/>
      <c r="Z13" s="1551"/>
      <c r="AA13" s="1551"/>
      <c r="AB13" s="1551"/>
      <c r="AC13" s="1551"/>
      <c r="AD13" s="1551"/>
      <c r="AE13" s="1551"/>
      <c r="AF13" s="1551"/>
      <c r="AG13" s="1551"/>
      <c r="AH13" s="1551"/>
      <c r="AI13" s="1551"/>
      <c r="AJ13" s="1551"/>
      <c r="AK13" s="1551"/>
      <c r="AM13" s="722"/>
      <c r="AN13" s="722" t="str">
        <f>IF(T13="","",T13)</f>
        <v>Добавить территорию для дифференциации</v>
      </c>
      <c r="AO13" s="722"/>
      <c r="AP13" s="722"/>
    </row>
    <row customHeight="1" ht="14.25" hidden="1">
      <c r="AB14" s="549"/>
      <c r="AI14" s="549"/>
    </row>
    <row customHeight="1" ht="14.25" hidden="1">
      <c r="AC15" s="1587"/>
      <c r="AD15" s="1587"/>
      <c r="AE15" s="1588"/>
      <c r="AF15" s="2386"/>
      <c r="AG15" s="2385" t="s">
        <v>63</v>
      </c>
      <c r="AH15" s="2386"/>
      <c r="AI15" s="2385" t="s">
        <v>63</v>
      </c>
    </row>
    <row customHeight="1" ht="14.25" hidden="1">
      <c r="AC16" s="1587"/>
      <c r="AD16" s="1587"/>
      <c r="AE16" s="550" t="str">
        <f>AF15&amp;"-"&amp;AH15</f>
        <v>-</v>
      </c>
      <c r="AF16" s="2385"/>
      <c r="AG16" s="2385"/>
      <c r="AH16" s="2385"/>
      <c r="AI16" s="2385"/>
    </row>
    <row customHeight="1" ht="14.25" hidden="1">
      <c r="AI17" s="549"/>
    </row>
    <row s="16550" customFormat="1" customHeight="1" ht="22.5" hidden="1">
      <c r="L18" s="1674"/>
      <c r="M18" s="1589"/>
      <c r="N18" s="1589"/>
      <c r="O18" s="1594" t="s">
        <v>521</v>
      </c>
      <c r="P18" s="1589"/>
      <c r="Q18" s="1598"/>
      <c r="R18" s="1598"/>
      <c r="S18" s="951"/>
      <c r="Y18" s="1594"/>
      <c r="AA18" s="1594"/>
      <c r="AB18" s="1593"/>
      <c r="AF18" s="1594"/>
      <c r="AH18" s="1594"/>
      <c r="AI18" s="1593"/>
      <c r="AL18" s="733"/>
      <c r="AM18" s="733"/>
      <c r="AN18" s="733"/>
      <c r="AO18" s="733"/>
      <c r="AP18" s="733"/>
    </row>
    <row s="16550" customFormat="1" customHeight="1" ht="14.25" hidden="1">
      <c r="L19" s="1674"/>
      <c r="M19" s="1589"/>
      <c r="N19" s="1589"/>
      <c r="O19" s="1589"/>
      <c r="P19" s="1589"/>
      <c r="Q19" s="1598"/>
      <c r="R19" s="1598"/>
      <c r="S19" s="951"/>
      <c r="AB19" s="1593"/>
      <c r="AI19" s="1593"/>
      <c r="AL19" s="733"/>
      <c r="AM19" s="733"/>
      <c r="AN19" s="733"/>
      <c r="AO19" s="733"/>
      <c r="AP19" s="733"/>
    </row>
    <row s="16550" customFormat="1" customHeight="1" ht="12" hidden="1">
      <c r="L20" s="1674"/>
      <c r="M20" s="1589"/>
      <c r="N20" s="1589"/>
      <c r="O20" s="1591" t="s">
        <v>522</v>
      </c>
      <c r="P20" s="1589"/>
      <c r="Q20" s="1669"/>
      <c r="R20" s="1669"/>
      <c r="S20" s="951"/>
      <c r="T20" s="1384" t="s">
        <v>523</v>
      </c>
      <c r="Z20" s="408" t="s">
        <v>524</v>
      </c>
      <c r="AB20" s="408" t="s">
        <v>525</v>
      </c>
      <c r="AC20" s="1384" t="s">
        <v>523</v>
      </c>
      <c r="AG20" s="408" t="s">
        <v>526</v>
      </c>
      <c r="AI20" s="408" t="s">
        <v>525</v>
      </c>
    </row>
    <row customHeight="1" ht="14.25" hidden="1">
      <c r="O21" s="1591"/>
    </row>
    <row customHeight="1" ht="14.25" hidden="1">
      <c r="O22" s="1591"/>
    </row>
    <row customHeight="1" ht="14.25">
      <c r="Q23" s="598"/>
      <c r="R23" s="598"/>
      <c r="S23" s="1502"/>
      <c r="T23" s="585"/>
      <c r="U23" s="585"/>
      <c r="V23" s="731"/>
      <c r="W23" s="731"/>
      <c r="X23" s="731"/>
      <c r="Y23" s="731"/>
      <c r="Z23" s="731"/>
      <c r="AA23" s="731"/>
      <c r="AB23" s="731"/>
      <c r="AC23" s="731"/>
      <c r="AD23" s="731"/>
      <c r="AE23" s="731"/>
      <c r="AF23" s="731"/>
      <c r="AG23" s="731"/>
      <c r="AH23" s="731"/>
      <c r="AI23" s="731"/>
    </row>
    <row customHeight="1" ht="14.25">
      <c r="Q24" s="598"/>
      <c r="R24" s="598"/>
      <c r="S24" s="24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21"/>
      <c r="U24" s="2421"/>
      <c r="V24" s="2421"/>
      <c r="W24" s="2421"/>
      <c r="X24" s="2421"/>
      <c r="Y24" s="2421"/>
      <c r="Z24" s="2421"/>
      <c r="AA24" s="2421"/>
      <c r="AB24" s="2421"/>
      <c r="AC24" s="2421"/>
      <c r="AD24" s="2421"/>
      <c r="AE24" s="2421"/>
      <c r="AF24" s="2421"/>
      <c r="AG24" s="2421"/>
      <c r="AH24" s="2421"/>
      <c r="AI24" s="1469"/>
    </row>
    <row customHeight="1" ht="14.25">
      <c r="Q25" s="598"/>
      <c r="R25" s="598"/>
      <c r="S25" s="2422" t="str">
        <f>IF(org=0,"Не определено",org)</f>
        <v>КГУП "Примтеплоэнерго"</v>
      </c>
      <c r="T25" s="2422"/>
      <c r="U25" s="2422"/>
      <c r="V25" s="2422"/>
      <c r="W25" s="2422"/>
      <c r="X25" s="2422"/>
      <c r="Y25" s="2422"/>
      <c r="Z25" s="2422"/>
      <c r="AA25" s="2422"/>
      <c r="AB25" s="2422"/>
      <c r="AC25" s="2422"/>
      <c r="AD25" s="2422"/>
      <c r="AE25" s="2422"/>
      <c r="AF25" s="2422"/>
      <c r="AG25" s="2422"/>
      <c r="AH25" s="2422"/>
      <c r="AI25" s="1469"/>
    </row>
    <row customHeight="1" ht="14.25" hidden="1">
      <c r="Q26" s="598"/>
      <c r="R26" s="598"/>
      <c r="S26" s="1502"/>
      <c r="T26" s="585"/>
      <c r="U26" s="585"/>
      <c r="V26" s="544"/>
      <c r="W26" s="544"/>
      <c r="X26" s="544"/>
      <c r="Y26" s="544"/>
      <c r="Z26" s="544"/>
      <c r="AA26" s="544"/>
      <c r="AB26" s="544"/>
      <c r="AC26" s="544"/>
      <c r="AD26" s="544"/>
      <c r="AE26" s="544"/>
      <c r="AF26" s="544"/>
      <c r="AG26" s="544"/>
      <c r="AH26" s="544"/>
      <c r="AI26" s="544"/>
      <c r="AJ26" s="731"/>
    </row>
    <row s="16563" customFormat="1" customHeight="1" ht="25.5" hidden="1">
      <c r="A27" s="1595"/>
      <c r="B27" s="1595"/>
      <c r="C27" s="1595"/>
      <c r="D27" s="1595"/>
      <c r="E27" s="1595"/>
      <c r="F27" s="1595"/>
      <c r="G27" s="1595"/>
      <c r="H27" s="1595"/>
      <c r="I27" s="1595"/>
      <c r="J27" s="1595"/>
      <c r="K27" s="1595"/>
      <c r="L27" s="1596"/>
      <c r="M27" s="1595"/>
      <c r="N27" s="1595"/>
      <c r="O27" s="1595"/>
      <c r="S27" s="2379" t="s">
        <v>38</v>
      </c>
      <c r="T27" s="2379"/>
      <c r="U27" s="1599"/>
      <c r="V27" s="2381" t="str">
        <f>IF(TITLE_NAME_OR_PR_CHANGE="",IF(TITLE_NAME_OR_PR="","",TITLE_NAME_OR_PR),TITLE_NAME_OR_PR_CHANGE)</f>
        <v/>
      </c>
      <c r="W27" s="2381"/>
      <c r="X27" s="2381"/>
      <c r="Y27" s="2381"/>
      <c r="Z27" s="2381"/>
      <c r="AA27" s="2381"/>
      <c r="AB27" s="548"/>
      <c r="AC27" s="2381" t="str">
        <f>IF(TITLE_NAME_OR_PR_CHANGE="",IF(TITLE_NAME_OR_PR="","",TITLE_NAME_OR_PR),TITLE_NAME_OR_PR_CHANGE)</f>
        <v/>
      </c>
      <c r="AD27" s="2381"/>
      <c r="AE27" s="2381"/>
      <c r="AF27" s="2381"/>
      <c r="AG27" s="2381"/>
      <c r="AH27" s="2381"/>
      <c r="AI27" s="548"/>
      <c r="AJ27" s="548"/>
      <c r="AK27" s="502"/>
      <c r="AL27" s="590"/>
      <c r="AM27" s="590"/>
      <c r="AN27" s="590"/>
      <c r="AO27" s="590"/>
      <c r="AP27" s="590"/>
    </row>
    <row s="16563" customFormat="1" customHeight="1" ht="18.75" hidden="1">
      <c r="A28" s="1595"/>
      <c r="B28" s="1595"/>
      <c r="C28" s="1595"/>
      <c r="D28" s="1595"/>
      <c r="E28" s="1595"/>
      <c r="F28" s="1595"/>
      <c r="G28" s="1595"/>
      <c r="H28" s="1595"/>
      <c r="I28" s="1595"/>
      <c r="J28" s="1595"/>
      <c r="K28" s="1595"/>
      <c r="L28" s="1596"/>
      <c r="M28" s="1595"/>
      <c r="N28" s="1595"/>
      <c r="O28" s="1595"/>
      <c r="S28" s="2379" t="s">
        <v>527</v>
      </c>
      <c r="T28" s="2379"/>
      <c r="U28" s="1599"/>
      <c r="V28" s="2380" t="str">
        <f>IF(TITLE_DATE_PR_CHANGE="",IF(TITLE_DATE_PR="","",TITLE_DATE_PR),TITLE_DATE_PR_CHANGE)</f>
        <v>45407.47206018519</v>
      </c>
      <c r="W28" s="2380"/>
      <c r="X28" s="2380"/>
      <c r="Y28" s="2380"/>
      <c r="Z28" s="2380"/>
      <c r="AA28" s="2380"/>
      <c r="AB28" s="548"/>
      <c r="AC28" s="2380" t="str">
        <f>IF(TITLE_DATE_PR_CHANGE="",IF(TITLE_DATE_PR="","",TITLE_DATE_PR),TITLE_DATE_PR_CHANGE)</f>
        <v>45407.47206018519</v>
      </c>
      <c r="AD28" s="2380"/>
      <c r="AE28" s="2380"/>
      <c r="AF28" s="2380"/>
      <c r="AG28" s="2380"/>
      <c r="AH28" s="2380"/>
      <c r="AI28" s="548"/>
      <c r="AJ28" s="548"/>
      <c r="AK28" s="502"/>
      <c r="AL28" s="590"/>
      <c r="AM28" s="590"/>
      <c r="AN28" s="590"/>
      <c r="AO28" s="590"/>
      <c r="AP28" s="590"/>
    </row>
    <row s="16563" customFormat="1" customHeight="1" ht="18.75" hidden="1">
      <c r="A29" s="1595"/>
      <c r="B29" s="1595"/>
      <c r="C29" s="1595"/>
      <c r="D29" s="1595"/>
      <c r="E29" s="1595"/>
      <c r="F29" s="1595"/>
      <c r="G29" s="1595"/>
      <c r="H29" s="1595"/>
      <c r="I29" s="1595"/>
      <c r="J29" s="1595"/>
      <c r="K29" s="1595"/>
      <c r="L29" s="1596"/>
      <c r="M29" s="1595"/>
      <c r="N29" s="1595"/>
      <c r="O29" s="1595"/>
      <c r="S29" s="2379" t="s">
        <v>528</v>
      </c>
      <c r="T29" s="2379"/>
      <c r="U29" s="1599"/>
      <c r="V29" s="2381" t="str">
        <f>IF(TITLE_NUMBER_PR_CHANGE="",IF(TITLE_NUMBER_PR="","",TITLE_NUMBER_PR),TITLE_NUMBER_PR_CHANGE)</f>
        <v>27-2067</v>
      </c>
      <c r="W29" s="2381"/>
      <c r="X29" s="2381"/>
      <c r="Y29" s="2381"/>
      <c r="Z29" s="2381"/>
      <c r="AA29" s="2381"/>
      <c r="AB29" s="548"/>
      <c r="AC29" s="2381" t="str">
        <f>IF(TITLE_NUMBER_PR_CHANGE="",IF(TITLE_NUMBER_PR="","",TITLE_NUMBER_PR),TITLE_NUMBER_PR_CHANGE)</f>
        <v>27-2067</v>
      </c>
      <c r="AD29" s="2381"/>
      <c r="AE29" s="2381"/>
      <c r="AF29" s="2381"/>
      <c r="AG29" s="2381"/>
      <c r="AH29" s="2381"/>
      <c r="AI29" s="548"/>
      <c r="AJ29" s="548"/>
      <c r="AK29" s="502"/>
      <c r="AL29" s="590"/>
      <c r="AM29" s="590"/>
      <c r="AN29" s="590"/>
      <c r="AO29" s="590"/>
      <c r="AP29" s="590"/>
    </row>
    <row s="16563" customFormat="1" customHeight="1" ht="18.75" hidden="1">
      <c r="A30" s="1595"/>
      <c r="B30" s="1595"/>
      <c r="C30" s="1595"/>
      <c r="D30" s="1595"/>
      <c r="E30" s="1595"/>
      <c r="F30" s="1595"/>
      <c r="G30" s="1595"/>
      <c r="H30" s="1595"/>
      <c r="I30" s="1595"/>
      <c r="J30" s="1595"/>
      <c r="K30" s="1595"/>
      <c r="L30" s="1596"/>
      <c r="M30" s="1595"/>
      <c r="N30" s="1595"/>
      <c r="O30" s="1595"/>
      <c r="S30" s="2379" t="s">
        <v>39</v>
      </c>
      <c r="T30" s="2379"/>
      <c r="U30" s="1599"/>
      <c r="V30" s="2381" t="str">
        <f>IF(TITLE_IST_PUB_CHANGE="",IF(TITLE_IST_PUB="","",TITLE_IST_PUB),TITLE_IST_PUB_CHANGE)</f>
        <v/>
      </c>
      <c r="W30" s="2381"/>
      <c r="X30" s="2381"/>
      <c r="Y30" s="2381"/>
      <c r="Z30" s="2381"/>
      <c r="AA30" s="2381"/>
      <c r="AB30" s="548"/>
      <c r="AC30" s="2381" t="str">
        <f>IF(TITLE_IST_PUB_CHANGE="",IF(TITLE_IST_PUB="","",TITLE_IST_PUB),TITLE_IST_PUB_CHANGE)</f>
        <v/>
      </c>
      <c r="AD30" s="2381"/>
      <c r="AE30" s="2381"/>
      <c r="AF30" s="2381"/>
      <c r="AG30" s="2381"/>
      <c r="AH30" s="2381"/>
      <c r="AI30" s="548"/>
      <c r="AJ30" s="548"/>
      <c r="AK30" s="502"/>
      <c r="AL30" s="590"/>
      <c r="AM30" s="590"/>
      <c r="AN30" s="590"/>
      <c r="AO30" s="590"/>
      <c r="AP30" s="590"/>
    </row>
    <row customHeight="1" ht="14.25">
      <c r="Q31" s="598"/>
      <c r="R31" s="598"/>
      <c r="S31" s="1502"/>
      <c r="T31" s="585"/>
      <c r="U31" s="585"/>
      <c r="V31" s="544"/>
      <c r="W31" s="544"/>
      <c r="X31" s="544"/>
      <c r="Y31" s="544"/>
      <c r="Z31" s="544"/>
      <c r="AA31" s="544"/>
      <c r="AB31" s="544"/>
      <c r="AC31" s="544"/>
      <c r="AD31" s="544"/>
      <c r="AE31" s="544"/>
      <c r="AF31" s="544"/>
      <c r="AG31" s="544"/>
      <c r="AH31" s="544"/>
      <c r="AI31" s="544"/>
      <c r="AJ31" s="731"/>
    </row>
    <row s="16563" customFormat="1" customHeight="1" ht="18.75">
      <c r="A32" s="1595"/>
      <c r="B32" s="1595"/>
      <c r="C32" s="1595"/>
      <c r="D32" s="1595"/>
      <c r="E32" s="1595"/>
      <c r="F32" s="1595"/>
      <c r="G32" s="1595"/>
      <c r="H32" s="1595"/>
      <c r="I32" s="1595"/>
      <c r="J32" s="1595"/>
      <c r="K32" s="1595"/>
      <c r="L32" s="1596"/>
      <c r="M32" s="1595"/>
      <c r="N32" s="1595"/>
      <c r="O32" s="1595"/>
      <c r="S32" s="2379" t="s">
        <v>529</v>
      </c>
      <c r="T32" s="2379"/>
      <c r="U32" s="1599"/>
      <c r="V32" s="2380" t="str">
        <f>IF(TITLE_DATE_PR_CHANGE="",IF(TITLE_DATE_PR="","",TITLE_DATE_PR),TITLE_DATE_PR_CHANGE)</f>
        <v>45407.47206018519</v>
      </c>
      <c r="W32" s="2380"/>
      <c r="X32" s="2380"/>
      <c r="Y32" s="2380"/>
      <c r="Z32" s="2380"/>
      <c r="AA32" s="2380"/>
      <c r="AB32" s="548"/>
      <c r="AC32" s="2380" t="str">
        <f>IF(TITLE_DATE_PR_CHANGE="",IF(TITLE_DATE_PR="","",TITLE_DATE_PR),TITLE_DATE_PR_CHANGE)</f>
        <v>45407.47206018519</v>
      </c>
      <c r="AD32" s="2380"/>
      <c r="AE32" s="2380"/>
      <c r="AF32" s="2380"/>
      <c r="AG32" s="2380"/>
      <c r="AH32" s="2380"/>
      <c r="AI32" s="548"/>
      <c r="AJ32" s="548"/>
      <c r="AK32" s="502"/>
      <c r="AL32" s="590"/>
      <c r="AM32" s="590"/>
      <c r="AN32" s="590"/>
      <c r="AO32" s="590"/>
      <c r="AP32" s="590"/>
    </row>
    <row s="16563" customFormat="1" customHeight="1" ht="18.75">
      <c r="A33" s="1595"/>
      <c r="B33" s="1595"/>
      <c r="C33" s="1595"/>
      <c r="D33" s="1595"/>
      <c r="E33" s="1595"/>
      <c r="F33" s="1595"/>
      <c r="G33" s="1595"/>
      <c r="H33" s="1595"/>
      <c r="I33" s="1595"/>
      <c r="J33" s="1595"/>
      <c r="K33" s="1595"/>
      <c r="L33" s="1596"/>
      <c r="M33" s="1595"/>
      <c r="N33" s="1595"/>
      <c r="O33" s="1595"/>
      <c r="S33" s="2379" t="s">
        <v>530</v>
      </c>
      <c r="T33" s="2379"/>
      <c r="U33" s="1599"/>
      <c r="V33" s="2381" t="str">
        <f>IF(TITLE_NUMBER_PR_CHANGE="",IF(TITLE_NUMBER_PR="","",TITLE_NUMBER_PR),TITLE_NUMBER_PR_CHANGE)</f>
        <v>27-2067</v>
      </c>
      <c r="W33" s="2381"/>
      <c r="X33" s="2381"/>
      <c r="Y33" s="2381"/>
      <c r="Z33" s="2381"/>
      <c r="AA33" s="2381"/>
      <c r="AB33" s="548"/>
      <c r="AC33" s="2381" t="str">
        <f>IF(TITLE_NUMBER_PR_CHANGE="",IF(TITLE_NUMBER_PR="","",TITLE_NUMBER_PR),TITLE_NUMBER_PR_CHANGE)</f>
        <v>27-2067</v>
      </c>
      <c r="AD33" s="2381"/>
      <c r="AE33" s="2381"/>
      <c r="AF33" s="2381"/>
      <c r="AG33" s="2381"/>
      <c r="AH33" s="2381"/>
      <c r="AI33" s="548"/>
      <c r="AJ33" s="548"/>
      <c r="AK33" s="502"/>
      <c r="AL33" s="590"/>
      <c r="AM33" s="590"/>
      <c r="AN33" s="590"/>
      <c r="AO33" s="590"/>
      <c r="AP33" s="590"/>
    </row>
    <row s="16563" customFormat="1" customHeight="1" ht="0.75">
      <c r="A34" s="1595"/>
      <c r="B34" s="1595"/>
      <c r="C34" s="1595"/>
      <c r="D34" s="1595"/>
      <c r="E34" s="1595"/>
      <c r="F34" s="1595"/>
      <c r="G34" s="1595"/>
      <c r="H34" s="1595"/>
      <c r="I34" s="1595"/>
      <c r="J34" s="1595"/>
      <c r="K34" s="1595"/>
      <c r="L34" s="1596"/>
      <c r="M34" s="1595"/>
      <c r="N34" s="1595"/>
      <c r="O34" s="1595"/>
      <c r="S34" s="545"/>
      <c r="T34" s="545"/>
      <c r="U34" s="1681"/>
      <c r="V34" s="548"/>
      <c r="W34" s="548"/>
      <c r="X34" s="548"/>
      <c r="Y34" s="548"/>
      <c r="Z34" s="548"/>
      <c r="AA34" s="548"/>
      <c r="AB34" s="500" t="s">
        <v>531</v>
      </c>
      <c r="AC34" s="548"/>
      <c r="AD34" s="548"/>
      <c r="AE34" s="548"/>
      <c r="AF34" s="548"/>
      <c r="AG34" s="548"/>
      <c r="AH34" s="548"/>
      <c r="AI34" s="500" t="s">
        <v>531</v>
      </c>
      <c r="AL34" s="590"/>
      <c r="AM34" s="590"/>
      <c r="AN34" s="590"/>
      <c r="AO34" s="590"/>
      <c r="AP34" s="590"/>
    </row>
    <row customHeight="1" ht="14.25">
      <c r="Q35" s="598"/>
      <c r="R35" s="598"/>
      <c r="S35" s="1502"/>
      <c r="T35" s="585"/>
      <c r="U35" s="1470"/>
      <c r="V35" s="2405"/>
      <c r="W35" s="2405"/>
      <c r="X35" s="2405"/>
      <c r="Y35" s="2405"/>
      <c r="Z35" s="2405"/>
      <c r="AA35" s="2405"/>
      <c r="AB35" s="2405"/>
      <c r="AC35" s="2405"/>
      <c r="AD35" s="2405"/>
      <c r="AE35" s="2405"/>
      <c r="AF35" s="2405"/>
      <c r="AG35" s="2405"/>
      <c r="AH35" s="2405"/>
      <c r="AI35" s="2405"/>
    </row>
    <row customHeight="1" ht="14.25">
      <c r="Q36" s="598"/>
      <c r="R36" s="598"/>
      <c r="S36" s="2253" t="s">
        <v>406</v>
      </c>
      <c r="T36" s="2253"/>
      <c r="U36" s="2253"/>
      <c r="V36" s="2253"/>
      <c r="W36" s="2253"/>
      <c r="X36" s="2253"/>
      <c r="Y36" s="2253"/>
      <c r="Z36" s="2253"/>
      <c r="AA36" s="2253"/>
      <c r="AB36" s="2253"/>
      <c r="AC36" s="2253"/>
      <c r="AD36" s="2253"/>
      <c r="AE36" s="2253"/>
      <c r="AF36" s="2253"/>
      <c r="AG36" s="2253"/>
      <c r="AH36" s="2253"/>
      <c r="AI36" s="2253"/>
      <c r="AJ36" s="2253"/>
      <c r="AK36" s="2253" t="s">
        <v>407</v>
      </c>
    </row>
    <row customHeight="1" ht="14.25">
      <c r="Q37" s="598"/>
      <c r="R37" s="598"/>
      <c r="S37" s="2406" t="s">
        <v>84</v>
      </c>
      <c r="T37" s="2343" t="s">
        <v>532</v>
      </c>
      <c r="U37" s="523"/>
      <c r="V37" s="2407" t="s">
        <v>533</v>
      </c>
      <c r="W37" s="2408"/>
      <c r="X37" s="2408"/>
      <c r="Y37" s="2408"/>
      <c r="Z37" s="2408"/>
      <c r="AA37" s="2409"/>
      <c r="AB37" s="2410" t="s">
        <v>534</v>
      </c>
      <c r="AC37" s="2407" t="s">
        <v>533</v>
      </c>
      <c r="AD37" s="2408"/>
      <c r="AE37" s="2408"/>
      <c r="AF37" s="2408"/>
      <c r="AG37" s="2408"/>
      <c r="AH37" s="2409"/>
      <c r="AI37" s="2410" t="s">
        <v>535</v>
      </c>
      <c r="AJ37" s="2413" t="s">
        <v>536</v>
      </c>
      <c r="AK37" s="2253"/>
    </row>
    <row customHeight="1" ht="33.75">
      <c r="Q38" s="598"/>
      <c r="R38" s="598"/>
      <c r="S38" s="2406"/>
      <c r="T38" s="2343"/>
      <c r="U38" s="1254"/>
      <c r="V38" s="1679" t="s">
        <v>593</v>
      </c>
      <c r="W38" s="2399" t="s">
        <v>539</v>
      </c>
      <c r="X38" s="2401"/>
      <c r="Y38" s="2399" t="s">
        <v>540</v>
      </c>
      <c r="Z38" s="2400"/>
      <c r="AA38" s="2401"/>
      <c r="AB38" s="2411"/>
      <c r="AC38" s="1679" t="s">
        <v>593</v>
      </c>
      <c r="AD38" s="2399" t="s">
        <v>539</v>
      </c>
      <c r="AE38" s="2401"/>
      <c r="AF38" s="2399" t="s">
        <v>540</v>
      </c>
      <c r="AG38" s="2400"/>
      <c r="AH38" s="2401"/>
      <c r="AI38" s="2411"/>
      <c r="AJ38" s="2414"/>
      <c r="AK38" s="2253"/>
    </row>
    <row customHeight="1" ht="33.75">
      <c r="A39" s="1597"/>
      <c r="B39" s="1597" t="s">
        <v>191</v>
      </c>
      <c r="C39" s="1597" t="s">
        <v>192</v>
      </c>
      <c r="D39" s="1597" t="s">
        <v>193</v>
      </c>
      <c r="E39" s="1591" t="s">
        <v>541</v>
      </c>
      <c r="F39" s="1591" t="s">
        <v>542</v>
      </c>
      <c r="G39" s="1591" t="s">
        <v>543</v>
      </c>
      <c r="H39" s="1591"/>
      <c r="I39" s="1591" t="s">
        <v>594</v>
      </c>
      <c r="J39" s="1591" t="s">
        <v>546</v>
      </c>
      <c r="K39" s="1591" t="s">
        <v>595</v>
      </c>
      <c r="L39" s="1591" t="s">
        <v>522</v>
      </c>
      <c r="Q39" s="598"/>
      <c r="R39" s="598"/>
      <c r="S39" s="2406"/>
      <c r="T39" s="2343"/>
      <c r="U39" s="524"/>
      <c r="V39" s="1679" t="s">
        <v>596</v>
      </c>
      <c r="W39" s="1448" t="s">
        <v>597</v>
      </c>
      <c r="X39" s="1448" t="s">
        <v>598</v>
      </c>
      <c r="Y39" s="1682" t="s">
        <v>550</v>
      </c>
      <c r="Z39" s="2402" t="s">
        <v>551</v>
      </c>
      <c r="AA39" s="2403"/>
      <c r="AB39" s="2412"/>
      <c r="AC39" s="1679" t="s">
        <v>596</v>
      </c>
      <c r="AD39" s="1448" t="s">
        <v>597</v>
      </c>
      <c r="AE39" s="1448" t="s">
        <v>598</v>
      </c>
      <c r="AF39" s="1682" t="s">
        <v>550</v>
      </c>
      <c r="AG39" s="2402" t="s">
        <v>551</v>
      </c>
      <c r="AH39" s="2403"/>
      <c r="AI39" s="2412"/>
      <c r="AJ39" s="2415"/>
      <c r="AK39" s="2253"/>
    </row>
    <row s="16382" customFormat="1" customHeight="1" ht="0">
      <c r="A40" s="1597"/>
      <c r="B40" s="1597"/>
      <c r="C40" s="1597"/>
      <c r="D40" s="1597"/>
      <c r="E40" s="1597"/>
      <c r="F40" s="1597"/>
      <c r="G40" s="1597"/>
      <c r="H40" s="1597"/>
      <c r="I40" s="1597"/>
      <c r="J40" s="1597"/>
      <c r="K40" s="1597"/>
      <c r="L40" s="1591"/>
      <c r="M40" s="1589"/>
      <c r="N40" s="1589"/>
      <c r="O40" s="1589"/>
      <c r="P40" s="1472"/>
      <c r="Q40" s="1473"/>
      <c r="R40" s="1480">
        <v>1</v>
      </c>
      <c r="S40" s="1504" t="s">
        <v>168</v>
      </c>
      <c r="T40" s="1481" t="s">
        <v>99</v>
      </c>
      <c r="U40" s="1471" t="str">
        <f>OFFSET(U40,0,-1)</f>
        <v>2</v>
      </c>
      <c r="V40" s="1678">
        <f>OFFSET(V40,0,-1)+1</f>
        <v>3</v>
      </c>
      <c r="W40" s="1678">
        <f>OFFSET(W40,0,-1)+1</f>
        <v>4</v>
      </c>
      <c r="X40" s="1678">
        <f>OFFSET(X40,0,-1)+1</f>
        <v>5</v>
      </c>
      <c r="Y40" s="1678">
        <f>OFFSET(Y40,0,-1)+1</f>
        <v>6</v>
      </c>
      <c r="Z40" s="2404">
        <f>OFFSET(Z40,0,-1)+1</f>
        <v>7</v>
      </c>
      <c r="AA40" s="2404"/>
      <c r="AB40" s="1678">
        <f>OFFSET(AB40,0,-2)+1</f>
        <v>8</v>
      </c>
      <c r="AC40" s="1678">
        <f>OFFSET(AC40,0,-1)+1</f>
        <v>9</v>
      </c>
      <c r="AD40" s="1678">
        <f>OFFSET(AD40,0,-1)+1</f>
        <v>10</v>
      </c>
      <c r="AE40" s="1678">
        <f>OFFSET(AE40,0,-1)+1</f>
        <v>11</v>
      </c>
      <c r="AF40" s="1678">
        <f>OFFSET(AF40,0,-1)+1</f>
        <v>12</v>
      </c>
      <c r="AG40" s="2404">
        <f>OFFSET(AG40,0,-1)+1</f>
        <v>13</v>
      </c>
      <c r="AH40" s="2404"/>
      <c r="AI40" s="1678">
        <f>OFFSET(AI40,0,-2)+1</f>
        <v>14</v>
      </c>
      <c r="AJ40" s="1471">
        <f>OFFSET(AJ40,0,-1)</f>
        <v>14</v>
      </c>
      <c r="AK40" s="1678">
        <f>OFFSET(AK40,0,-1)+1</f>
        <v>15</v>
      </c>
      <c r="AL40" s="733"/>
      <c r="AM40" s="733"/>
      <c r="AN40" s="733"/>
      <c r="AO40" s="733"/>
      <c r="AP40" s="733"/>
    </row>
    <row customHeight="1" ht="23.25">
      <c r="A41" s="1590" t="s">
        <v>284</v>
      </c>
      <c r="B41" s="1590"/>
      <c r="C41" s="1590"/>
      <c r="D41" s="1590"/>
      <c r="E41" s="2388">
        <v>1</v>
      </c>
      <c r="F41" s="1590"/>
      <c r="G41" s="1590"/>
      <c r="H41" s="1590"/>
      <c r="I41" s="1590"/>
      <c r="J41" s="1590"/>
      <c r="K41" s="1590"/>
      <c r="L41" s="1591"/>
      <c r="M41" s="1592"/>
      <c r="N41" s="1592"/>
      <c r="O41" s="1592"/>
      <c r="P41" s="583"/>
      <c r="Q41" s="582"/>
      <c r="R41" s="577"/>
      <c r="S41" s="1684">
        <f>INDEX(PT_DIFFERENTIATION_NUM_NTAR,MATCH(A41,PT_DIFFERENTIATION_NTAR_ID,0))</f>
        <v>0</v>
      </c>
      <c r="T41" s="520" t="s">
        <v>179</v>
      </c>
      <c r="U41" s="522"/>
      <c r="V41" s="2382"/>
      <c r="W41" s="2383"/>
      <c r="X41" s="2383"/>
      <c r="Y41" s="2383"/>
      <c r="Z41" s="2383"/>
      <c r="AA41" s="2383"/>
      <c r="AB41" s="2384"/>
      <c r="AC41" s="2382" t="str">
        <f>INDEX(PT_DIFFERENTIATION_NTAR,MATCH(A41,PT_DIFFERENTIATION_NTAR_ID,0))</f>
        <v/>
      </c>
      <c r="AD41" s="2383"/>
      <c r="AE41" s="2383"/>
      <c r="AF41" s="2383"/>
      <c r="AG41" s="2383"/>
      <c r="AH41" s="2383"/>
      <c r="AI41" s="2383"/>
      <c r="AJ41" s="2384"/>
      <c r="AK41" s="14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2"/>
      <c r="AN41" s="722" t="str">
        <f>IF(T41="","",T41)</f>
        <v>Наименование тарифа</v>
      </c>
      <c r="AO41" s="722"/>
      <c r="AP41" s="722"/>
    </row>
    <row customHeight="1" ht="23.25">
      <c r="A42" s="1590" t="s">
        <v>284</v>
      </c>
      <c r="B42" s="1590" t="s">
        <v>285</v>
      </c>
      <c r="C42" s="1590"/>
      <c r="D42" s="1590"/>
      <c r="E42" s="2389"/>
      <c r="F42" s="2388">
        <v>1</v>
      </c>
      <c r="G42" s="1590"/>
      <c r="H42" s="1590"/>
      <c r="I42" s="1590"/>
      <c r="J42" s="1590"/>
      <c r="K42" s="1590"/>
      <c r="L42" s="1591"/>
      <c r="M42" s="1592"/>
      <c r="N42" s="1592"/>
      <c r="O42" s="1592"/>
      <c r="P42" s="1680"/>
      <c r="Q42" s="574"/>
      <c r="R42" s="575"/>
      <c r="S42" s="1684" t="str">
        <f>INDEX(PT_DIFFERENTIATION_NUM_TER,MATCH(B42,PT_DIFFERENTIATION_TER_ID,0))</f>
        <v>.</v>
      </c>
      <c r="T42" s="530" t="s">
        <v>503</v>
      </c>
      <c r="U42" s="522"/>
      <c r="V42" s="2382"/>
      <c r="W42" s="2383"/>
      <c r="X42" s="2383"/>
      <c r="Y42" s="2383"/>
      <c r="Z42" s="2383"/>
      <c r="AA42" s="2383"/>
      <c r="AB42" s="2384"/>
      <c r="AC42" s="2382" t="str">
        <f>INDEX(PT_DIFFERENTIATION_TER,MATCH(B42,PT_DIFFERENTIATION_TER_ID,0))</f>
        <v/>
      </c>
      <c r="AD42" s="2383"/>
      <c r="AE42" s="2383"/>
      <c r="AF42" s="2383"/>
      <c r="AG42" s="2383"/>
      <c r="AH42" s="2383"/>
      <c r="AI42" s="2383"/>
      <c r="AJ42" s="2384"/>
      <c r="AK42" s="1484" t="s">
        <v>504</v>
      </c>
      <c r="AM42" s="722"/>
      <c r="AN42" s="722" t="str">
        <f>IF(T42="","",T42)</f>
        <v>Территория действия тарифа</v>
      </c>
      <c r="AO42" s="722"/>
      <c r="AP42" s="722"/>
    </row>
    <row customHeight="1" ht="23.25">
      <c r="A43" s="1590" t="s">
        <v>284</v>
      </c>
      <c r="B43" s="1590" t="s">
        <v>285</v>
      </c>
      <c r="C43" s="1590" t="s">
        <v>286</v>
      </c>
      <c r="D43" s="1590"/>
      <c r="E43" s="2389"/>
      <c r="F43" s="2389"/>
      <c r="G43" s="2388">
        <v>1</v>
      </c>
      <c r="H43" s="1590"/>
      <c r="I43" s="1590"/>
      <c r="J43" s="1590"/>
      <c r="K43" s="1590"/>
      <c r="L43" s="1591"/>
      <c r="M43" s="1592"/>
      <c r="N43" s="1592"/>
      <c r="O43" s="1592"/>
      <c r="P43" s="576"/>
      <c r="Q43" s="574"/>
      <c r="R43" s="575"/>
      <c r="S43" s="1684" t="str">
        <f>INDEX(PT_DIFFERENTIATION_NUM_CS,MATCH(C43,PT_DIFFERENTIATION_CS_ID,0))</f>
        <v>..</v>
      </c>
      <c r="T43" s="531" t="s">
        <v>585</v>
      </c>
      <c r="U43" s="522"/>
      <c r="V43" s="2382"/>
      <c r="W43" s="2383"/>
      <c r="X43" s="2383"/>
      <c r="Y43" s="2383"/>
      <c r="Z43" s="2383"/>
      <c r="AA43" s="2383"/>
      <c r="AB43" s="2384"/>
      <c r="AC43" s="2382" t="str">
        <f>INDEX(PT_DIFFERENTIATION_CS,MATCH(C43,PT_DIFFERENTIATION_CS_ID,0))</f>
        <v/>
      </c>
      <c r="AD43" s="2383"/>
      <c r="AE43" s="2383"/>
      <c r="AF43" s="2383"/>
      <c r="AG43" s="2383"/>
      <c r="AH43" s="2383"/>
      <c r="AI43" s="2383"/>
      <c r="AJ43" s="2384"/>
      <c r="AK43" s="1484" t="s">
        <v>586</v>
      </c>
      <c r="AM43" s="722"/>
      <c r="AN43" s="722" t="str">
        <f>IF(T43="","",T43)</f>
        <v>Наименование централизованной системы холодного водоснабжения</v>
      </c>
      <c r="AO43" s="722"/>
      <c r="AP43" s="722"/>
    </row>
    <row customHeight="1" ht="23.25">
      <c r="A44" s="1590" t="s">
        <v>284</v>
      </c>
      <c r="B44" s="1590" t="s">
        <v>285</v>
      </c>
      <c r="C44" s="1590" t="s">
        <v>286</v>
      </c>
      <c r="D44" s="1590" t="s">
        <v>601</v>
      </c>
      <c r="E44" s="2389"/>
      <c r="F44" s="2389"/>
      <c r="G44" s="2389"/>
      <c r="H44" s="2389"/>
      <c r="I44" s="2390" t="str">
        <f>S43&amp;".1"</f>
        <v>...1</v>
      </c>
      <c r="J44" s="1590"/>
      <c r="K44" s="1590"/>
      <c r="L44" s="1591"/>
      <c r="P44" s="2392">
        <v>1</v>
      </c>
      <c r="Q44" s="1677"/>
      <c r="R44" s="578"/>
      <c r="S44" s="1684" t="str">
        <f>$I44</f>
        <v>...1</v>
      </c>
      <c r="T44" s="507" t="s">
        <v>587</v>
      </c>
      <c r="U44" s="522"/>
      <c r="V44" s="2475"/>
      <c r="W44" s="2476"/>
      <c r="X44" s="2476"/>
      <c r="Y44" s="2476"/>
      <c r="Z44" s="2476"/>
      <c r="AA44" s="2476"/>
      <c r="AB44" s="2477"/>
      <c r="AC44" s="2478"/>
      <c r="AD44" s="2479"/>
      <c r="AE44" s="2479"/>
      <c r="AF44" s="2479"/>
      <c r="AG44" s="2479"/>
      <c r="AH44" s="2479"/>
      <c r="AI44" s="2479"/>
      <c r="AJ44" s="2480"/>
      <c r="AK44" s="1484" t="s">
        <v>588</v>
      </c>
      <c r="AM44" s="722"/>
      <c r="AN44" s="722" t="str">
        <f>IF(T44="","",T44)</f>
        <v>Наименование признака дифференциации</v>
      </c>
      <c r="AO44" s="722"/>
      <c r="AP44" s="722"/>
    </row>
    <row customHeight="1" ht="23.25">
      <c r="A45" s="1590" t="s">
        <v>284</v>
      </c>
      <c r="B45" s="1590" t="s">
        <v>285</v>
      </c>
      <c r="C45" s="1590" t="s">
        <v>286</v>
      </c>
      <c r="D45" s="1590" t="s">
        <v>601</v>
      </c>
      <c r="E45" s="2389"/>
      <c r="F45" s="2389"/>
      <c r="G45" s="2389"/>
      <c r="H45" s="2389"/>
      <c r="I45" s="2391"/>
      <c r="J45" s="2390" t="str">
        <f>I44&amp;".1"</f>
        <v>...1.1</v>
      </c>
      <c r="K45" s="1590"/>
      <c r="L45" s="1591" t="s">
        <v>512</v>
      </c>
      <c r="P45" s="2392"/>
      <c r="Q45" s="2392">
        <v>1</v>
      </c>
      <c r="R45" s="579"/>
      <c r="S45" s="1684" t="str">
        <f>$J45</f>
        <v>...1.1</v>
      </c>
      <c r="T45" s="508" t="s">
        <v>513</v>
      </c>
      <c r="U45" s="522"/>
      <c r="V45" s="2376"/>
      <c r="W45" s="2377"/>
      <c r="X45" s="2377"/>
      <c r="Y45" s="2377"/>
      <c r="Z45" s="2377"/>
      <c r="AA45" s="2377"/>
      <c r="AB45" s="2378"/>
      <c r="AC45" s="2376"/>
      <c r="AD45" s="2377"/>
      <c r="AE45" s="2377"/>
      <c r="AF45" s="2377"/>
      <c r="AG45" s="2377"/>
      <c r="AH45" s="2377"/>
      <c r="AI45" s="2377"/>
      <c r="AJ45" s="2378"/>
      <c r="AK45" s="1534" t="s">
        <v>589</v>
      </c>
      <c r="AM45" s="722"/>
      <c r="AN45" s="722" t="str">
        <f>IF(T45="","",T45)</f>
        <v>Группа потребителей</v>
      </c>
      <c r="AO45" s="722"/>
      <c r="AP45" s="722"/>
    </row>
    <row customHeight="1" ht="23.25">
      <c r="A46" s="1590" t="s">
        <v>284</v>
      </c>
      <c r="B46" s="1590" t="s">
        <v>285</v>
      </c>
      <c r="C46" s="1590" t="s">
        <v>286</v>
      </c>
      <c r="D46" s="1590" t="s">
        <v>601</v>
      </c>
      <c r="E46" s="2389"/>
      <c r="F46" s="2389"/>
      <c r="G46" s="2389"/>
      <c r="H46" s="2389"/>
      <c r="I46" s="2391"/>
      <c r="J46" s="2391"/>
      <c r="K46" s="2390" t="str">
        <f>J45&amp;".1"</f>
        <v>...1.1.1</v>
      </c>
      <c r="L46" s="1591"/>
      <c r="P46" s="2392"/>
      <c r="Q46" s="2392"/>
      <c r="R46" s="579">
        <v>1</v>
      </c>
      <c r="S46" s="1684" t="str">
        <f>$K46</f>
        <v>...1.1.1</v>
      </c>
      <c r="T46" s="1664"/>
      <c r="U46" s="522"/>
      <c r="V46" s="973"/>
      <c r="W46" s="973"/>
      <c r="X46" s="1483"/>
      <c r="Y46" s="2393"/>
      <c r="Z46" s="2263" t="s">
        <v>63</v>
      </c>
      <c r="AA46" s="2393"/>
      <c r="AB46" s="2263" t="s">
        <v>63</v>
      </c>
      <c r="AC46" s="973"/>
      <c r="AD46" s="973"/>
      <c r="AE46" s="1483"/>
      <c r="AF46" s="2393"/>
      <c r="AG46" s="2263" t="s">
        <v>63</v>
      </c>
      <c r="AH46" s="2395"/>
      <c r="AI46" s="2263" t="s">
        <v>63</v>
      </c>
      <c r="AJ46" s="1665"/>
      <c r="AK46" s="24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3">
        <f>STRCHECKDATE(V47:AJ47)</f>
      </c>
      <c r="AM46" s="722"/>
      <c r="AN46" s="722" t="str">
        <f>IF(T46="","",T46)</f>
        <v/>
      </c>
      <c r="AO46" s="722"/>
      <c r="AP46" s="722"/>
    </row>
    <row customHeight="1" ht="0">
      <c r="A47" s="1590" t="s">
        <v>284</v>
      </c>
      <c r="B47" s="1590" t="s">
        <v>285</v>
      </c>
      <c r="C47" s="1590" t="s">
        <v>286</v>
      </c>
      <c r="D47" s="1590" t="s">
        <v>601</v>
      </c>
      <c r="E47" s="2389"/>
      <c r="F47" s="2389"/>
      <c r="G47" s="2389"/>
      <c r="H47" s="2389"/>
      <c r="I47" s="2391"/>
      <c r="J47" s="2391"/>
      <c r="K47" s="2390"/>
      <c r="L47" s="1591"/>
      <c r="P47" s="2392"/>
      <c r="Q47" s="2392"/>
      <c r="R47" s="579"/>
      <c r="S47" s="1683"/>
      <c r="T47" s="522"/>
      <c r="U47" s="522"/>
      <c r="V47" s="547"/>
      <c r="W47" s="547"/>
      <c r="X47" s="550" t="str">
        <f>Y46&amp;"-"&amp;AA46</f>
        <v>-</v>
      </c>
      <c r="Y47" s="2394"/>
      <c r="Z47" s="2263"/>
      <c r="AA47" s="2394"/>
      <c r="AB47" s="2263"/>
      <c r="AC47" s="547"/>
      <c r="AD47" s="547"/>
      <c r="AE47" s="550" t="str">
        <f>AF46&amp;"-"&amp;AH46</f>
        <v>-</v>
      </c>
      <c r="AF47" s="2394"/>
      <c r="AG47" s="2263"/>
      <c r="AH47" s="2396"/>
      <c r="AI47" s="2263"/>
      <c r="AJ47" s="1666"/>
      <c r="AK47" s="2481"/>
      <c r="AM47" s="722"/>
      <c r="AN47" s="722" t="str">
        <f>IF(T47="","",T47)</f>
        <v/>
      </c>
      <c r="AO47" s="722"/>
      <c r="AP47" s="722"/>
    </row>
    <row customHeight="1" ht="21">
      <c r="A48" s="1590" t="s">
        <v>284</v>
      </c>
      <c r="B48" s="1590" t="s">
        <v>285</v>
      </c>
      <c r="C48" s="1590" t="s">
        <v>286</v>
      </c>
      <c r="D48" s="1590" t="s">
        <v>601</v>
      </c>
      <c r="E48" s="2389"/>
      <c r="F48" s="2389"/>
      <c r="G48" s="2389"/>
      <c r="H48" s="2389"/>
      <c r="I48" s="2391"/>
      <c r="J48" s="2390"/>
      <c r="K48" s="1590"/>
      <c r="L48" s="1591"/>
      <c r="P48" s="2392"/>
      <c r="Q48" s="2392"/>
      <c r="R48" s="578"/>
      <c r="S48" s="1505"/>
      <c r="T48" s="509" t="s">
        <v>590</v>
      </c>
      <c r="U48" s="589"/>
      <c r="V48" s="589"/>
      <c r="W48" s="589"/>
      <c r="X48" s="589"/>
      <c r="Y48" s="589"/>
      <c r="Z48" s="589"/>
      <c r="AA48" s="589"/>
      <c r="AB48" s="589"/>
      <c r="AC48" s="589"/>
      <c r="AD48" s="589"/>
      <c r="AE48" s="589"/>
      <c r="AF48" s="589"/>
      <c r="AG48" s="589"/>
      <c r="AH48" s="589"/>
      <c r="AI48" s="589"/>
      <c r="AJ48" s="589"/>
      <c r="AK48" s="1484" t="s">
        <v>591</v>
      </c>
      <c r="AM48" s="722"/>
      <c r="AN48" s="722" t="str">
        <f>IF(T48="","",T48)</f>
        <v>Добавить значение признака дифференциации</v>
      </c>
      <c r="AO48" s="722"/>
      <c r="AP48" s="722"/>
    </row>
    <row customHeight="1" ht="21">
      <c r="A49" s="1590" t="s">
        <v>284</v>
      </c>
      <c r="B49" s="1590" t="s">
        <v>285</v>
      </c>
      <c r="C49" s="1590" t="s">
        <v>286</v>
      </c>
      <c r="D49" s="1590" t="s">
        <v>601</v>
      </c>
      <c r="E49" s="2389"/>
      <c r="F49" s="2389"/>
      <c r="G49" s="2389"/>
      <c r="H49" s="2389"/>
      <c r="I49" s="2390"/>
      <c r="J49" s="1590"/>
      <c r="K49" s="1590"/>
      <c r="L49" s="1591"/>
      <c r="P49" s="2392"/>
      <c r="Q49" s="1677"/>
      <c r="R49" s="578"/>
      <c r="S49" s="1505"/>
      <c r="T49" s="587" t="s">
        <v>518</v>
      </c>
      <c r="U49" s="589"/>
      <c r="V49" s="589"/>
      <c r="W49" s="589"/>
      <c r="X49" s="589"/>
      <c r="Y49" s="589"/>
      <c r="Z49" s="589"/>
      <c r="AA49" s="589"/>
      <c r="AB49" s="588"/>
      <c r="AC49" s="589"/>
      <c r="AD49" s="589"/>
      <c r="AE49" s="589"/>
      <c r="AF49" s="589"/>
      <c r="AG49" s="589"/>
      <c r="AH49" s="589"/>
      <c r="AI49" s="588"/>
      <c r="AJ49" s="589"/>
      <c r="AK49" s="1667"/>
      <c r="AM49" s="722"/>
      <c r="AN49" s="722" t="str">
        <f>IF(T49="","",T49)</f>
        <v>Добавить группу потребителей</v>
      </c>
      <c r="AO49" s="722"/>
      <c r="AP49" s="722"/>
    </row>
    <row customHeight="1" ht="21">
      <c r="A50" s="1590" t="s">
        <v>284</v>
      </c>
      <c r="B50" s="1590" t="s">
        <v>285</v>
      </c>
      <c r="C50" s="1590" t="s">
        <v>286</v>
      </c>
      <c r="D50" s="1590" t="s">
        <v>601</v>
      </c>
      <c r="E50" s="2389"/>
      <c r="F50" s="2389"/>
      <c r="G50" s="2389"/>
      <c r="H50" s="2388"/>
      <c r="I50" s="1590"/>
      <c r="J50" s="1590"/>
      <c r="K50" s="1590"/>
      <c r="L50" s="1591"/>
      <c r="M50" s="1592"/>
      <c r="N50" s="1592"/>
      <c r="O50" s="759"/>
      <c r="P50" s="582"/>
      <c r="Q50" s="597"/>
      <c r="R50" s="577"/>
      <c r="S50" s="1505"/>
      <c r="T50" s="594" t="s">
        <v>592</v>
      </c>
      <c r="U50" s="589"/>
      <c r="V50" s="589"/>
      <c r="W50" s="589"/>
      <c r="X50" s="589"/>
      <c r="Y50" s="589"/>
      <c r="Z50" s="589"/>
      <c r="AA50" s="589"/>
      <c r="AB50" s="588"/>
      <c r="AC50" s="589"/>
      <c r="AD50" s="589"/>
      <c r="AE50" s="589"/>
      <c r="AF50" s="589"/>
      <c r="AG50" s="589"/>
      <c r="AH50" s="589"/>
      <c r="AI50" s="588"/>
      <c r="AJ50" s="589"/>
      <c r="AK50" s="525"/>
      <c r="AM50" s="722"/>
      <c r="AN50" s="722" t="str">
        <f>IF(T50="","",T50)</f>
        <v>Добавить наименование признака дифференциации</v>
      </c>
      <c r="AO50" s="722"/>
      <c r="AP50" s="722"/>
    </row>
    <row s="16531" customFormat="1" customHeight="1" ht="0">
      <c r="A51" s="1570" t="s">
        <v>284</v>
      </c>
      <c r="B51" s="1570" t="s">
        <v>285</v>
      </c>
      <c r="C51" s="1541"/>
      <c r="D51" s="1541"/>
      <c r="E51" s="2389"/>
      <c r="F51" s="2388"/>
      <c r="G51" s="1541"/>
      <c r="H51" s="1541"/>
      <c r="I51" s="1541"/>
      <c r="J51" s="1541"/>
      <c r="K51" s="1541"/>
      <c r="L51" s="1685"/>
      <c r="M51" s="1548"/>
      <c r="N51" s="1548"/>
      <c r="P51" s="1543"/>
      <c r="Q51" s="1544"/>
      <c r="R51" s="1543"/>
      <c r="S51" s="1549"/>
      <c r="T51" s="1552" t="s">
        <v>305</v>
      </c>
      <c r="U51" s="1551"/>
      <c r="V51" s="1551"/>
      <c r="W51" s="1551"/>
      <c r="X51" s="1551"/>
      <c r="Y51" s="1551"/>
      <c r="Z51" s="1551"/>
      <c r="AA51" s="1551"/>
      <c r="AB51" s="1551"/>
      <c r="AC51" s="1551"/>
      <c r="AD51" s="1551"/>
      <c r="AE51" s="1551"/>
      <c r="AF51" s="1551"/>
      <c r="AG51" s="1551"/>
      <c r="AH51" s="1551"/>
      <c r="AI51" s="1551"/>
      <c r="AJ51" s="1551"/>
      <c r="AK51" s="1551"/>
      <c r="AM51" s="1011"/>
      <c r="AN51" s="1011" t="str">
        <f>IF(T51="","",T51)</f>
        <v>Добавить централизованную систему для дифференциации</v>
      </c>
      <c r="AO51" s="1011"/>
      <c r="AP51" s="1011"/>
    </row>
    <row s="16622" customFormat="1" customHeight="1" ht="0">
      <c r="A52" s="1570" t="s">
        <v>284</v>
      </c>
      <c r="B52" s="1570"/>
      <c r="C52" s="1570"/>
      <c r="D52" s="1570"/>
      <c r="E52" s="2388"/>
      <c r="F52" s="1570"/>
      <c r="G52" s="1570"/>
      <c r="H52" s="1570"/>
      <c r="I52" s="1570"/>
      <c r="J52" s="1570"/>
      <c r="K52" s="1570"/>
      <c r="L52" s="1573"/>
      <c r="M52" s="1548"/>
      <c r="N52" s="1548"/>
      <c r="O52" s="740"/>
      <c r="P52" s="602"/>
      <c r="Q52" s="1571"/>
      <c r="R52" s="602"/>
      <c r="S52" s="1549"/>
      <c r="T52" s="1552" t="s">
        <v>358</v>
      </c>
      <c r="U52" s="1551"/>
      <c r="V52" s="1551"/>
      <c r="W52" s="1551"/>
      <c r="X52" s="1551"/>
      <c r="Y52" s="1551"/>
      <c r="Z52" s="1551"/>
      <c r="AA52" s="1551"/>
      <c r="AB52" s="1551"/>
      <c r="AC52" s="1551"/>
      <c r="AD52" s="1551"/>
      <c r="AE52" s="1551"/>
      <c r="AF52" s="1551"/>
      <c r="AG52" s="1551"/>
      <c r="AH52" s="1551"/>
      <c r="AI52" s="1551"/>
      <c r="AJ52" s="1551"/>
      <c r="AK52" s="1551"/>
      <c r="AM52" s="722"/>
      <c r="AN52" s="722" t="str">
        <f>IF(T52="","",T52)</f>
        <v>Добавить территорию для дифференциации</v>
      </c>
      <c r="AO52" s="722"/>
      <c r="AP52" s="722"/>
    </row>
    <row s="16531"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359</v>
      </c>
      <c r="U53" s="1551"/>
      <c r="V53" s="1551"/>
      <c r="W53" s="1551"/>
      <c r="X53" s="1551"/>
      <c r="Y53" s="1551"/>
      <c r="Z53" s="1551"/>
      <c r="AA53" s="1551"/>
      <c r="AB53" s="1551"/>
      <c r="AC53" s="1551"/>
      <c r="AD53" s="1551"/>
      <c r="AE53" s="1551"/>
      <c r="AF53" s="1551"/>
      <c r="AG53" s="1551"/>
      <c r="AH53" s="1551"/>
      <c r="AI53" s="1551"/>
      <c r="AJ53" s="1551"/>
      <c r="AK53" s="1551"/>
      <c r="AM53" s="1011"/>
      <c r="AN53" s="1011" t="str">
        <f>IF(T53="","",T53)</f>
        <v>Добавить наименование тарифа</v>
      </c>
      <c r="AO53" s="1011"/>
      <c r="AP53" s="1011"/>
    </row>
    <row customHeight="1" ht="11.25">
      <c r="M54" s="1384"/>
      <c r="N54" s="1384"/>
      <c r="O54" s="759"/>
      <c r="P54" s="1379"/>
      <c r="Q54" s="1379"/>
      <c r="R54" s="1379"/>
      <c r="S54" s="1379"/>
      <c r="AL54" s="1379"/>
      <c r="AM54" s="1379"/>
      <c r="AN54" s="1379"/>
      <c r="AO54" s="1379"/>
      <c r="AP54" s="1379"/>
    </row>
    <row customHeight="1" ht="14.25">
      <c r="O55" s="759"/>
      <c r="S55" s="1479"/>
      <c r="T55" s="2387"/>
      <c r="U55" s="2387"/>
      <c r="V55" s="2387"/>
      <c r="W55" s="2387"/>
      <c r="X55" s="2387"/>
      <c r="Y55" s="2387"/>
      <c r="Z55" s="2387"/>
      <c r="AA55" s="2387"/>
      <c r="AB55" s="2387"/>
      <c r="AC55" s="2387"/>
      <c r="AD55" s="2387"/>
      <c r="AE55" s="2387"/>
      <c r="AF55" s="2387"/>
      <c r="AG55" s="2387"/>
      <c r="AH55" s="2387"/>
      <c r="AI55" s="2387"/>
      <c r="AJ55" s="2387"/>
      <c r="AK55" s="2387"/>
    </row>
    <row customHeight="1" ht="14.25">
      <c r="O56" s="759"/>
    </row>
    <row customHeight="1" ht="14.25">
      <c r="O57" s="759"/>
      <c r="S57" s="1479"/>
      <c r="T57" s="2387"/>
      <c r="U57" s="2387"/>
      <c r="V57" s="2387"/>
      <c r="W57" s="2387"/>
      <c r="X57" s="2387"/>
      <c r="Y57" s="2387"/>
      <c r="Z57" s="2387"/>
      <c r="AA57" s="2387"/>
      <c r="AB57" s="2387"/>
      <c r="AC57" s="2387"/>
      <c r="AD57" s="2387"/>
      <c r="AE57" s="2387"/>
      <c r="AF57" s="2387"/>
      <c r="AG57" s="2387"/>
      <c r="AH57" s="2387"/>
      <c r="AI57" s="2387"/>
      <c r="AJ57" s="2387"/>
      <c r="AK57" s="23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93E4E4-9A5D-154B-4609-CB726B85C11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6550" width="10.57421875" hidden="1"/>
    <col min="2" max="2" style="16550" width="11.00390625" hidden="1" customWidth="1"/>
    <col min="3" max="3" style="16550" width="10.57421875" hidden="1"/>
    <col min="4" max="4" style="16550" width="11.8515625" hidden="1" customWidth="1"/>
    <col min="5" max="5" style="16550" width="10.00390625" hidden="1" customWidth="1"/>
    <col min="6" max="6" style="16550" width="8.7109375" hidden="1" customWidth="1"/>
    <col min="7" max="7" style="16550" width="7.57421875" hidden="1" customWidth="1"/>
    <col min="8" max="8" style="16550" width="11.421875" hidden="1" customWidth="1"/>
    <col min="9" max="9" style="16550" width="14.140625" hidden="1" customWidth="1"/>
    <col min="10" max="10" style="16550" width="9.8515625" hidden="1" customWidth="1"/>
    <col min="11" max="11" style="16550" width="14.7109375" hidden="1" customWidth="1"/>
    <col min="12" max="12" style="16843" width="19.140625" hidden="1" customWidth="1"/>
    <col min="13" max="14" style="16631" width="12.28125" hidden="1" customWidth="1"/>
    <col min="15" max="15" style="16631" width="23.421875" hidden="1" customWidth="1"/>
    <col min="16" max="16" style="16844" width="3.7109375" customWidth="1"/>
    <col min="17" max="18" style="16633" width="3.7109375" customWidth="1"/>
    <col min="19" max="19" style="16634" width="12.7109375" customWidth="1"/>
    <col min="20" max="20" style="16635" width="35.7109375" customWidth="1"/>
    <col min="21" max="21" style="16635" width="0.140625" customWidth="1"/>
    <col min="22" max="24" style="16635" width="24.7109375" hidden="1" customWidth="1"/>
    <col min="25" max="25" style="16635" width="11.7109375" hidden="1" customWidth="1"/>
    <col min="26" max="26" style="16635" width="3.7109375" hidden="1" customWidth="1"/>
    <col min="27" max="27" style="16635" width="11.7109375" hidden="1" customWidth="1"/>
    <col min="28" max="28" style="16635" width="8.57421875" hidden="1" customWidth="1"/>
    <col min="29" max="31" style="16635" width="24.7109375" customWidth="1"/>
    <col min="32" max="32" style="16635" width="11.7109375" customWidth="1"/>
    <col min="33" max="33" style="16635" width="3.7109375" customWidth="1"/>
    <col min="34" max="34" style="16635" width="11.7109375" customWidth="1"/>
    <col min="35" max="35" style="16635" width="8.57421875" hidden="1" customWidth="1"/>
    <col min="36" max="36" style="16635" width="4.7109375" customWidth="1"/>
    <col min="37" max="37" style="16635" width="115.7109375" customWidth="1"/>
    <col min="38" max="39" style="16622" width="10.57421875"/>
    <col min="40" max="40" style="16622" width="11.140625" customWidth="1"/>
    <col min="41" max="42" style="16622" width="10.57421875"/>
  </cols>
  <sheetData>
    <row customHeight="1" ht="14.25" hidden="1">
      <c r="X1" s="549"/>
      <c r="Y1" s="549"/>
      <c r="AE1" s="549"/>
      <c r="AF1" s="549"/>
    </row>
    <row customHeight="1" ht="23.25" hidden="1">
      <c r="A2" s="1590"/>
      <c r="B2" s="1590"/>
      <c r="C2" s="1590"/>
      <c r="D2" s="1590"/>
      <c r="E2" s="2388">
        <v>1</v>
      </c>
      <c r="F2" s="1590"/>
      <c r="G2" s="1590"/>
      <c r="H2" s="1590"/>
      <c r="I2" s="1590"/>
      <c r="J2" s="1590"/>
      <c r="K2" s="1590"/>
      <c r="L2" s="1591"/>
      <c r="M2" s="1592"/>
      <c r="N2" s="1592"/>
      <c r="O2" s="1592"/>
      <c r="P2" s="583"/>
      <c r="Q2" s="582"/>
      <c r="R2" s="577"/>
      <c r="S2" s="1684">
        <f>INDEX(PT_DIFFERENTIATION_NUM_NTAR,MATCH(A2,PT_DIFFERENTIATION_NTAR_ID,0))</f>
      </c>
      <c r="T2" s="520" t="s">
        <v>179</v>
      </c>
      <c r="U2" s="522"/>
      <c r="V2" s="2382"/>
      <c r="W2" s="2383"/>
      <c r="X2" s="2383"/>
      <c r="Y2" s="2383"/>
      <c r="Z2" s="2383"/>
      <c r="AA2" s="2383"/>
      <c r="AB2" s="2384"/>
      <c r="AC2" s="2382">
        <f>INDEX(PT_DIFFERENTIATION_NTAR,MATCH(A2,PT_DIFFERENTIATION_NTAR_ID,0))</f>
      </c>
      <c r="AD2" s="2383"/>
      <c r="AE2" s="2383"/>
      <c r="AF2" s="2383"/>
      <c r="AG2" s="2383"/>
      <c r="AH2" s="2383"/>
      <c r="AI2" s="2383"/>
      <c r="AJ2" s="2384"/>
      <c r="AK2" s="14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2"/>
      <c r="AN2" s="722" t="str">
        <f>IF(T2="","",T2)</f>
        <v>Наименование тарифа</v>
      </c>
      <c r="AO2" s="722"/>
      <c r="AP2" s="722"/>
    </row>
    <row customHeight="1" ht="23.25" hidden="1">
      <c r="A3" s="1590"/>
      <c r="B3" s="1590"/>
      <c r="C3" s="1590"/>
      <c r="D3" s="1590"/>
      <c r="E3" s="2389"/>
      <c r="F3" s="2388">
        <v>1</v>
      </c>
      <c r="G3" s="1590"/>
      <c r="H3" s="1590"/>
      <c r="I3" s="1590"/>
      <c r="J3" s="1590"/>
      <c r="K3" s="1590"/>
      <c r="L3" s="1591"/>
      <c r="M3" s="1592"/>
      <c r="N3" s="1592"/>
      <c r="O3" s="1592"/>
      <c r="P3" s="1680"/>
      <c r="Q3" s="574"/>
      <c r="R3" s="575"/>
      <c r="S3" s="1684">
        <f>INDEX(PT_DIFFERENTIATION_NUM_TER,MATCH(B3,PT_DIFFERENTIATION_TER_ID,0))</f>
      </c>
      <c r="T3" s="530" t="s">
        <v>503</v>
      </c>
      <c r="U3" s="522"/>
      <c r="V3" s="2382"/>
      <c r="W3" s="2383"/>
      <c r="X3" s="2383"/>
      <c r="Y3" s="2383"/>
      <c r="Z3" s="2383"/>
      <c r="AA3" s="2383"/>
      <c r="AB3" s="2384"/>
      <c r="AC3" s="2382">
        <f>INDEX(PT_DIFFERENTIATION_TER,MATCH(B3,PT_DIFFERENTIATION_TER_ID,0))</f>
      </c>
      <c r="AD3" s="2383"/>
      <c r="AE3" s="2383"/>
      <c r="AF3" s="2383"/>
      <c r="AG3" s="2383"/>
      <c r="AH3" s="2383"/>
      <c r="AI3" s="2383"/>
      <c r="AJ3" s="2384"/>
      <c r="AK3" s="1484" t="s">
        <v>504</v>
      </c>
      <c r="AM3" s="722"/>
      <c r="AN3" s="722" t="str">
        <f>IF(T3="","",T3)</f>
        <v>Территория действия тарифа</v>
      </c>
      <c r="AO3" s="722"/>
      <c r="AP3" s="722"/>
    </row>
    <row customHeight="1" ht="23.25" hidden="1">
      <c r="A4" s="1590"/>
      <c r="B4" s="1590"/>
      <c r="C4" s="1590"/>
      <c r="D4" s="1590"/>
      <c r="E4" s="2389"/>
      <c r="F4" s="2389"/>
      <c r="G4" s="2388">
        <v>1</v>
      </c>
      <c r="H4" s="1590"/>
      <c r="I4" s="1590"/>
      <c r="J4" s="1590"/>
      <c r="K4" s="1590"/>
      <c r="L4" s="1591"/>
      <c r="M4" s="1592"/>
      <c r="N4" s="1592"/>
      <c r="O4" s="1592"/>
      <c r="P4" s="576"/>
      <c r="Q4" s="574"/>
      <c r="R4" s="575"/>
      <c r="S4" s="1684">
        <f>INDEX(PT_DIFFERENTIATION_NUM_CS,MATCH(C4,PT_DIFFERENTIATION_CS_ID,0))</f>
      </c>
      <c r="T4" s="531" t="s">
        <v>585</v>
      </c>
      <c r="U4" s="522"/>
      <c r="V4" s="2382"/>
      <c r="W4" s="2383"/>
      <c r="X4" s="2383"/>
      <c r="Y4" s="2383"/>
      <c r="Z4" s="2383"/>
      <c r="AA4" s="2383"/>
      <c r="AB4" s="2384"/>
      <c r="AC4" s="2382">
        <f>INDEX(PT_DIFFERENTIATION_CS,MATCH(C4,PT_DIFFERENTIATION_CS_ID,0))</f>
      </c>
      <c r="AD4" s="2383"/>
      <c r="AE4" s="2383"/>
      <c r="AF4" s="2383"/>
      <c r="AG4" s="2383"/>
      <c r="AH4" s="2383"/>
      <c r="AI4" s="2383"/>
      <c r="AJ4" s="2384"/>
      <c r="AK4" s="1484" t="s">
        <v>586</v>
      </c>
      <c r="AM4" s="722"/>
      <c r="AN4" s="722" t="str">
        <f>IF(T4="","",T4)</f>
        <v>Наименование централизованной системы холодного водоснабжения</v>
      </c>
      <c r="AO4" s="722"/>
      <c r="AP4" s="722"/>
    </row>
    <row customHeight="1" ht="23.25" hidden="1">
      <c r="A5" s="1590"/>
      <c r="B5" s="1590"/>
      <c r="C5" s="1590"/>
      <c r="D5" s="1590"/>
      <c r="E5" s="2389"/>
      <c r="F5" s="2389"/>
      <c r="G5" s="2389"/>
      <c r="H5" s="2389"/>
      <c r="I5" s="2390">
        <f>S4&amp;".1"</f>
      </c>
      <c r="J5" s="1590"/>
      <c r="K5" s="1590"/>
      <c r="L5" s="1591"/>
      <c r="P5" s="2392">
        <v>1</v>
      </c>
      <c r="Q5" s="1677"/>
      <c r="R5" s="578"/>
      <c r="S5" s="1684">
        <f>$I5</f>
      </c>
      <c r="T5" s="507" t="s">
        <v>587</v>
      </c>
      <c r="U5" s="522"/>
      <c r="V5" s="2475"/>
      <c r="W5" s="2476"/>
      <c r="X5" s="2476"/>
      <c r="Y5" s="2476"/>
      <c r="Z5" s="2476"/>
      <c r="AA5" s="2476"/>
      <c r="AB5" s="2477"/>
      <c r="AC5" s="2478"/>
      <c r="AD5" s="2479"/>
      <c r="AE5" s="2479"/>
      <c r="AF5" s="2479"/>
      <c r="AG5" s="2479"/>
      <c r="AH5" s="2479"/>
      <c r="AI5" s="2479"/>
      <c r="AJ5" s="2480"/>
      <c r="AK5" s="1484" t="s">
        <v>588</v>
      </c>
      <c r="AM5" s="722"/>
      <c r="AN5" s="722" t="str">
        <f>IF(T5="","",T5)</f>
        <v>Наименование признака дифференциации</v>
      </c>
      <c r="AO5" s="722"/>
      <c r="AP5" s="722"/>
    </row>
    <row customHeight="1" ht="23.25" hidden="1">
      <c r="A6" s="1590"/>
      <c r="B6" s="1590"/>
      <c r="C6" s="1590"/>
      <c r="D6" s="1590"/>
      <c r="E6" s="2389"/>
      <c r="F6" s="2389"/>
      <c r="G6" s="2389"/>
      <c r="H6" s="2389"/>
      <c r="I6" s="2391"/>
      <c r="J6" s="2390">
        <f>I5&amp;".1"</f>
      </c>
      <c r="K6" s="1590"/>
      <c r="L6" s="1591" t="s">
        <v>512</v>
      </c>
      <c r="P6" s="2392"/>
      <c r="Q6" s="2392">
        <v>1</v>
      </c>
      <c r="R6" s="579"/>
      <c r="S6" s="1684">
        <f>$J6</f>
      </c>
      <c r="T6" s="508" t="s">
        <v>513</v>
      </c>
      <c r="U6" s="522"/>
      <c r="V6" s="2376"/>
      <c r="W6" s="2377"/>
      <c r="X6" s="2377"/>
      <c r="Y6" s="2377"/>
      <c r="Z6" s="2377"/>
      <c r="AA6" s="2377"/>
      <c r="AB6" s="2378"/>
      <c r="AC6" s="2376"/>
      <c r="AD6" s="2377"/>
      <c r="AE6" s="2377"/>
      <c r="AF6" s="2377"/>
      <c r="AG6" s="2377"/>
      <c r="AH6" s="2377"/>
      <c r="AI6" s="2377"/>
      <c r="AJ6" s="2378"/>
      <c r="AK6" s="1534" t="s">
        <v>589</v>
      </c>
      <c r="AM6" s="722"/>
      <c r="AN6" s="722" t="str">
        <f>IF(T6="","",T6)</f>
        <v>Группа потребителей</v>
      </c>
      <c r="AO6" s="722"/>
      <c r="AP6" s="722"/>
    </row>
    <row customHeight="1" ht="23.25" hidden="1">
      <c r="A7" s="1590"/>
      <c r="B7" s="1590"/>
      <c r="C7" s="1590"/>
      <c r="D7" s="1590"/>
      <c r="E7" s="2389"/>
      <c r="F7" s="2389"/>
      <c r="G7" s="2389"/>
      <c r="H7" s="2389"/>
      <c r="I7" s="2391"/>
      <c r="J7" s="2391"/>
      <c r="K7" s="2390">
        <f>J6&amp;".1"</f>
      </c>
      <c r="L7" s="1591"/>
      <c r="P7" s="2392"/>
      <c r="Q7" s="2392"/>
      <c r="R7" s="579">
        <v>1</v>
      </c>
      <c r="S7" s="1684">
        <f>$K7</f>
      </c>
      <c r="T7" s="1664"/>
      <c r="U7" s="522"/>
      <c r="V7" s="973"/>
      <c r="W7" s="973"/>
      <c r="X7" s="1483"/>
      <c r="Y7" s="2393"/>
      <c r="Z7" s="2263" t="s">
        <v>63</v>
      </c>
      <c r="AA7" s="2393"/>
      <c r="AB7" s="2263" t="s">
        <v>63</v>
      </c>
      <c r="AC7" s="973"/>
      <c r="AD7" s="973"/>
      <c r="AE7" s="1483"/>
      <c r="AF7" s="2393"/>
      <c r="AG7" s="2263" t="s">
        <v>63</v>
      </c>
      <c r="AH7" s="2395"/>
      <c r="AI7" s="2263" t="s">
        <v>63</v>
      </c>
      <c r="AJ7" s="1665"/>
      <c r="AK7" s="24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3">
        <f>STRCHECKDATE(V8:AJ8)</f>
      </c>
      <c r="AM7" s="722"/>
      <c r="AN7" s="722" t="str">
        <f>IF(T7="","",T7)</f>
        <v/>
      </c>
      <c r="AO7" s="722"/>
      <c r="AP7" s="722"/>
    </row>
    <row customHeight="1" ht="14.25" hidden="1">
      <c r="A8" s="1590"/>
      <c r="B8" s="1590"/>
      <c r="C8" s="1590"/>
      <c r="D8" s="1590"/>
      <c r="E8" s="2389"/>
      <c r="F8" s="2389"/>
      <c r="G8" s="2389"/>
      <c r="H8" s="2389"/>
      <c r="I8" s="2391"/>
      <c r="J8" s="2391"/>
      <c r="K8" s="2390"/>
      <c r="L8" s="1591"/>
      <c r="P8" s="2392"/>
      <c r="Q8" s="2392"/>
      <c r="R8" s="579"/>
      <c r="S8" s="1683"/>
      <c r="T8" s="522"/>
      <c r="U8" s="522"/>
      <c r="V8" s="547"/>
      <c r="W8" s="547"/>
      <c r="X8" s="550" t="str">
        <f>Y7&amp;"-"&amp;AA7</f>
        <v>-</v>
      </c>
      <c r="Y8" s="2394"/>
      <c r="Z8" s="2263"/>
      <c r="AA8" s="2394"/>
      <c r="AB8" s="2263"/>
      <c r="AC8" s="547"/>
      <c r="AD8" s="547"/>
      <c r="AE8" s="550" t="str">
        <f>AF7&amp;"-"&amp;AH7</f>
        <v>-</v>
      </c>
      <c r="AF8" s="2394"/>
      <c r="AG8" s="2263"/>
      <c r="AH8" s="2396"/>
      <c r="AI8" s="2263"/>
      <c r="AJ8" s="1666"/>
      <c r="AK8" s="2481"/>
      <c r="AM8" s="722"/>
      <c r="AN8" s="722" t="str">
        <f>IF(T8="","",T8)</f>
        <v/>
      </c>
      <c r="AO8" s="722"/>
      <c r="AP8" s="722"/>
    </row>
    <row customHeight="1" ht="21" hidden="1">
      <c r="A9" s="1590"/>
      <c r="B9" s="1590"/>
      <c r="C9" s="1590"/>
      <c r="D9" s="1590"/>
      <c r="E9" s="2389"/>
      <c r="F9" s="2389"/>
      <c r="G9" s="2389"/>
      <c r="H9" s="2389"/>
      <c r="I9" s="2391"/>
      <c r="J9" s="2390"/>
      <c r="K9" s="1590"/>
      <c r="L9" s="1591"/>
      <c r="P9" s="2392"/>
      <c r="Q9" s="2392"/>
      <c r="R9" s="578"/>
      <c r="S9" s="1505"/>
      <c r="T9" s="509" t="s">
        <v>590</v>
      </c>
      <c r="U9" s="589"/>
      <c r="V9" s="589"/>
      <c r="W9" s="589"/>
      <c r="X9" s="589"/>
      <c r="Y9" s="589"/>
      <c r="Z9" s="589"/>
      <c r="AA9" s="589"/>
      <c r="AB9" s="589"/>
      <c r="AC9" s="589"/>
      <c r="AD9" s="589"/>
      <c r="AE9" s="589"/>
      <c r="AF9" s="589"/>
      <c r="AG9" s="589"/>
      <c r="AH9" s="589"/>
      <c r="AI9" s="589"/>
      <c r="AJ9" s="589"/>
      <c r="AK9" s="1484" t="s">
        <v>591</v>
      </c>
      <c r="AM9" s="722"/>
      <c r="AN9" s="722" t="str">
        <f>IF(T9="","",T9)</f>
        <v>Добавить значение признака дифференциации</v>
      </c>
      <c r="AO9" s="722"/>
      <c r="AP9" s="722"/>
    </row>
    <row customHeight="1" ht="21" hidden="1">
      <c r="A10" s="1590"/>
      <c r="B10" s="1590"/>
      <c r="C10" s="1590"/>
      <c r="D10" s="1590"/>
      <c r="E10" s="2389"/>
      <c r="F10" s="2389"/>
      <c r="G10" s="2389"/>
      <c r="H10" s="2389"/>
      <c r="I10" s="2390"/>
      <c r="J10" s="1590"/>
      <c r="K10" s="1590"/>
      <c r="L10" s="1591"/>
      <c r="P10" s="2392"/>
      <c r="Q10" s="1677"/>
      <c r="R10" s="578"/>
      <c r="S10" s="1505"/>
      <c r="T10" s="587" t="s">
        <v>518</v>
      </c>
      <c r="U10" s="589"/>
      <c r="V10" s="589"/>
      <c r="W10" s="589"/>
      <c r="X10" s="589"/>
      <c r="Y10" s="589"/>
      <c r="Z10" s="589"/>
      <c r="AA10" s="589"/>
      <c r="AB10" s="588"/>
      <c r="AC10" s="589"/>
      <c r="AD10" s="589"/>
      <c r="AE10" s="589"/>
      <c r="AF10" s="589"/>
      <c r="AG10" s="589"/>
      <c r="AH10" s="589"/>
      <c r="AI10" s="588"/>
      <c r="AJ10" s="589"/>
      <c r="AK10" s="1667"/>
      <c r="AM10" s="722"/>
      <c r="AN10" s="722" t="str">
        <f>IF(T10="","",T10)</f>
        <v>Добавить группу потребителей</v>
      </c>
      <c r="AO10" s="722"/>
      <c r="AP10" s="722"/>
    </row>
    <row customHeight="1" ht="21" hidden="1">
      <c r="A11" s="1590"/>
      <c r="B11" s="1590"/>
      <c r="C11" s="1590"/>
      <c r="D11" s="1590"/>
      <c r="E11" s="2389"/>
      <c r="F11" s="2389"/>
      <c r="G11" s="2389"/>
      <c r="H11" s="2388"/>
      <c r="I11" s="1590"/>
      <c r="J11" s="1590"/>
      <c r="K11" s="1590"/>
      <c r="L11" s="1591"/>
      <c r="M11" s="1592"/>
      <c r="N11" s="1592"/>
      <c r="O11" s="759"/>
      <c r="P11" s="582"/>
      <c r="Q11" s="597"/>
      <c r="R11" s="577"/>
      <c r="S11" s="1505"/>
      <c r="T11" s="594" t="s">
        <v>592</v>
      </c>
      <c r="U11" s="589"/>
      <c r="V11" s="589"/>
      <c r="W11" s="589"/>
      <c r="X11" s="589"/>
      <c r="Y11" s="589"/>
      <c r="Z11" s="589"/>
      <c r="AA11" s="589"/>
      <c r="AB11" s="588"/>
      <c r="AC11" s="589"/>
      <c r="AD11" s="589"/>
      <c r="AE11" s="589"/>
      <c r="AF11" s="589"/>
      <c r="AG11" s="589"/>
      <c r="AH11" s="589"/>
      <c r="AI11" s="588"/>
      <c r="AJ11" s="589"/>
      <c r="AK11" s="525"/>
      <c r="AM11" s="722"/>
      <c r="AN11" s="722" t="str">
        <f>IF(T11="","",T11)</f>
        <v>Добавить наименование признака дифференциации</v>
      </c>
      <c r="AO11" s="722"/>
      <c r="AP11" s="722"/>
    </row>
    <row s="16531" customFormat="1" customHeight="1" ht="14.25" hidden="1">
      <c r="A12" s="1570"/>
      <c r="B12" s="1570"/>
      <c r="C12" s="1541"/>
      <c r="D12" s="1541"/>
      <c r="E12" s="2389"/>
      <c r="F12" s="2388"/>
      <c r="G12" s="1541"/>
      <c r="H12" s="1541"/>
      <c r="I12" s="1541"/>
      <c r="J12" s="1541"/>
      <c r="K12" s="1541"/>
      <c r="L12" s="1685"/>
      <c r="M12" s="1548"/>
      <c r="N12" s="1548"/>
      <c r="P12" s="1543"/>
      <c r="Q12" s="1544"/>
      <c r="R12" s="1543"/>
      <c r="S12" s="1549"/>
      <c r="T12" s="1552" t="s">
        <v>305</v>
      </c>
      <c r="U12" s="1551"/>
      <c r="V12" s="1551"/>
      <c r="W12" s="1551"/>
      <c r="X12" s="1551"/>
      <c r="Y12" s="1551"/>
      <c r="Z12" s="1551"/>
      <c r="AA12" s="1551"/>
      <c r="AB12" s="1551"/>
      <c r="AC12" s="1551"/>
      <c r="AD12" s="1551"/>
      <c r="AE12" s="1551"/>
      <c r="AF12" s="1551"/>
      <c r="AG12" s="1551"/>
      <c r="AH12" s="1551"/>
      <c r="AI12" s="1551"/>
      <c r="AJ12" s="1551"/>
      <c r="AK12" s="1551"/>
      <c r="AM12" s="1011"/>
      <c r="AN12" s="1011" t="str">
        <f>IF(T12="","",T12)</f>
        <v>Добавить централизованную систему для дифференциации</v>
      </c>
      <c r="AO12" s="1011"/>
      <c r="AP12" s="1011"/>
    </row>
    <row s="16622" customFormat="1" customHeight="1" ht="14.25" hidden="1">
      <c r="A13" s="1570"/>
      <c r="B13" s="1570"/>
      <c r="C13" s="1570"/>
      <c r="D13" s="1570"/>
      <c r="E13" s="2388"/>
      <c r="F13" s="1570"/>
      <c r="G13" s="1570"/>
      <c r="H13" s="1570"/>
      <c r="I13" s="1570"/>
      <c r="J13" s="1570"/>
      <c r="K13" s="1570"/>
      <c r="L13" s="1573"/>
      <c r="M13" s="1548"/>
      <c r="N13" s="1548"/>
      <c r="O13" s="740"/>
      <c r="P13" s="602"/>
      <c r="Q13" s="1571"/>
      <c r="R13" s="602"/>
      <c r="S13" s="1549"/>
      <c r="T13" s="1552" t="s">
        <v>358</v>
      </c>
      <c r="U13" s="1551"/>
      <c r="V13" s="1551"/>
      <c r="W13" s="1551"/>
      <c r="X13" s="1551"/>
      <c r="Y13" s="1551"/>
      <c r="Z13" s="1551"/>
      <c r="AA13" s="1551"/>
      <c r="AB13" s="1551"/>
      <c r="AC13" s="1551"/>
      <c r="AD13" s="1551"/>
      <c r="AE13" s="1551"/>
      <c r="AF13" s="1551"/>
      <c r="AG13" s="1551"/>
      <c r="AH13" s="1551"/>
      <c r="AI13" s="1551"/>
      <c r="AJ13" s="1551"/>
      <c r="AK13" s="1551"/>
      <c r="AM13" s="722"/>
      <c r="AN13" s="722" t="str">
        <f>IF(T13="","",T13)</f>
        <v>Добавить территорию для дифференциации</v>
      </c>
      <c r="AO13" s="722"/>
      <c r="AP13" s="722"/>
    </row>
    <row customHeight="1" ht="14.25" hidden="1">
      <c r="AB14" s="549"/>
      <c r="AI14" s="549"/>
    </row>
    <row customHeight="1" ht="14.25" hidden="1">
      <c r="AC15" s="1587"/>
      <c r="AD15" s="1587"/>
      <c r="AE15" s="1588"/>
      <c r="AF15" s="2386"/>
      <c r="AG15" s="2385" t="s">
        <v>63</v>
      </c>
      <c r="AH15" s="2386"/>
      <c r="AI15" s="2385" t="s">
        <v>63</v>
      </c>
    </row>
    <row customHeight="1" ht="14.25" hidden="1">
      <c r="AC16" s="1587"/>
      <c r="AD16" s="1587"/>
      <c r="AE16" s="550" t="str">
        <f>AF15&amp;"-"&amp;AH15</f>
        <v>-</v>
      </c>
      <c r="AF16" s="2385"/>
      <c r="AG16" s="2385"/>
      <c r="AH16" s="2385"/>
      <c r="AI16" s="2385"/>
    </row>
    <row customHeight="1" ht="14.25" hidden="1">
      <c r="AI17" s="549"/>
    </row>
    <row s="16550" customFormat="1" customHeight="1" ht="22.5" hidden="1">
      <c r="L18" s="1674"/>
      <c r="M18" s="1589"/>
      <c r="N18" s="1589"/>
      <c r="O18" s="1594" t="s">
        <v>521</v>
      </c>
      <c r="P18" s="1589"/>
      <c r="Q18" s="1598"/>
      <c r="R18" s="1598"/>
      <c r="S18" s="951"/>
      <c r="Y18" s="1594"/>
      <c r="AA18" s="1594"/>
      <c r="AB18" s="1593"/>
      <c r="AF18" s="1594"/>
      <c r="AH18" s="1594"/>
      <c r="AI18" s="1593"/>
      <c r="AL18" s="733"/>
      <c r="AM18" s="733"/>
      <c r="AN18" s="733"/>
      <c r="AO18" s="733"/>
      <c r="AP18" s="733"/>
    </row>
    <row s="16550" customFormat="1" customHeight="1" ht="14.25" hidden="1">
      <c r="L19" s="1674"/>
      <c r="M19" s="1589"/>
      <c r="N19" s="1589"/>
      <c r="O19" s="1589"/>
      <c r="P19" s="1589"/>
      <c r="Q19" s="1598"/>
      <c r="R19" s="1598"/>
      <c r="S19" s="951"/>
      <c r="AB19" s="1593"/>
      <c r="AI19" s="1593"/>
      <c r="AL19" s="733"/>
      <c r="AM19" s="733"/>
      <c r="AN19" s="733"/>
      <c r="AO19" s="733"/>
      <c r="AP19" s="733"/>
    </row>
    <row s="16550" customFormat="1" customHeight="1" ht="12" hidden="1">
      <c r="L20" s="1674"/>
      <c r="M20" s="1589"/>
      <c r="N20" s="1589"/>
      <c r="O20" s="1591" t="s">
        <v>522</v>
      </c>
      <c r="P20" s="1589"/>
      <c r="Q20" s="1669"/>
      <c r="R20" s="1669"/>
      <c r="S20" s="951"/>
      <c r="T20" s="1384" t="s">
        <v>523</v>
      </c>
      <c r="Z20" s="408" t="s">
        <v>524</v>
      </c>
      <c r="AB20" s="408" t="s">
        <v>525</v>
      </c>
      <c r="AC20" s="1384" t="s">
        <v>523</v>
      </c>
      <c r="AG20" s="408" t="s">
        <v>526</v>
      </c>
      <c r="AI20" s="408" t="s">
        <v>525</v>
      </c>
    </row>
    <row customHeight="1" ht="14.25" hidden="1">
      <c r="O21" s="1591"/>
    </row>
    <row customHeight="1" ht="14.25" hidden="1">
      <c r="O22" s="1591"/>
    </row>
    <row customHeight="1" ht="14.25">
      <c r="Q23" s="598"/>
      <c r="R23" s="598"/>
      <c r="S23" s="1502"/>
      <c r="T23" s="585"/>
      <c r="U23" s="585"/>
      <c r="V23" s="731"/>
      <c r="W23" s="731"/>
      <c r="X23" s="731"/>
      <c r="Y23" s="731"/>
      <c r="Z23" s="731"/>
      <c r="AA23" s="731"/>
      <c r="AB23" s="731"/>
      <c r="AC23" s="731"/>
      <c r="AD23" s="731"/>
      <c r="AE23" s="731"/>
      <c r="AF23" s="731"/>
      <c r="AG23" s="731"/>
      <c r="AH23" s="731"/>
      <c r="AI23" s="731"/>
    </row>
    <row customHeight="1" ht="14.25">
      <c r="Q24" s="598"/>
      <c r="R24" s="598"/>
      <c r="S24" s="24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21"/>
      <c r="U24" s="2421"/>
      <c r="V24" s="2421"/>
      <c r="W24" s="2421"/>
      <c r="X24" s="2421"/>
      <c r="Y24" s="2421"/>
      <c r="Z24" s="2421"/>
      <c r="AA24" s="2421"/>
      <c r="AB24" s="2421"/>
      <c r="AC24" s="2421"/>
      <c r="AD24" s="2421"/>
      <c r="AE24" s="2421"/>
      <c r="AF24" s="2421"/>
      <c r="AG24" s="2421"/>
      <c r="AH24" s="2421"/>
      <c r="AI24" s="1469"/>
    </row>
    <row customHeight="1" ht="14.25">
      <c r="Q25" s="598"/>
      <c r="R25" s="598"/>
      <c r="S25" s="2422" t="str">
        <f>IF(org=0,"Не определено",org)</f>
        <v>КГУП "Примтеплоэнерго"</v>
      </c>
      <c r="T25" s="2422"/>
      <c r="U25" s="2422"/>
      <c r="V25" s="2422"/>
      <c r="W25" s="2422"/>
      <c r="X25" s="2422"/>
      <c r="Y25" s="2422"/>
      <c r="Z25" s="2422"/>
      <c r="AA25" s="2422"/>
      <c r="AB25" s="2422"/>
      <c r="AC25" s="2422"/>
      <c r="AD25" s="2422"/>
      <c r="AE25" s="2422"/>
      <c r="AF25" s="2422"/>
      <c r="AG25" s="2422"/>
      <c r="AH25" s="2422"/>
      <c r="AI25" s="1469"/>
    </row>
    <row customHeight="1" ht="14.25" hidden="1">
      <c r="Q26" s="598"/>
      <c r="R26" s="598"/>
      <c r="S26" s="1502"/>
      <c r="T26" s="585"/>
      <c r="U26" s="585"/>
      <c r="V26" s="544"/>
      <c r="W26" s="544"/>
      <c r="X26" s="544"/>
      <c r="Y26" s="544"/>
      <c r="Z26" s="544"/>
      <c r="AA26" s="544"/>
      <c r="AB26" s="544"/>
      <c r="AC26" s="544"/>
      <c r="AD26" s="544"/>
      <c r="AE26" s="544"/>
      <c r="AF26" s="544"/>
      <c r="AG26" s="544"/>
      <c r="AH26" s="544"/>
      <c r="AI26" s="544"/>
      <c r="AJ26" s="731"/>
    </row>
    <row s="16563" customFormat="1" customHeight="1" ht="25.5" hidden="1">
      <c r="A27" s="1595"/>
      <c r="B27" s="1595"/>
      <c r="C27" s="1595"/>
      <c r="D27" s="1595"/>
      <c r="E27" s="1595"/>
      <c r="F27" s="1595"/>
      <c r="G27" s="1595"/>
      <c r="H27" s="1595"/>
      <c r="I27" s="1595"/>
      <c r="J27" s="1595"/>
      <c r="K27" s="1595"/>
      <c r="L27" s="1596"/>
      <c r="M27" s="1595"/>
      <c r="N27" s="1595"/>
      <c r="O27" s="1595"/>
      <c r="S27" s="2379" t="s">
        <v>38</v>
      </c>
      <c r="T27" s="2379"/>
      <c r="U27" s="1599"/>
      <c r="V27" s="2381" t="str">
        <f>IF(TITLE_NAME_OR_PR_CHANGE="",IF(TITLE_NAME_OR_PR="","",TITLE_NAME_OR_PR),TITLE_NAME_OR_PR_CHANGE)</f>
        <v/>
      </c>
      <c r="W27" s="2381"/>
      <c r="X27" s="2381"/>
      <c r="Y27" s="2381"/>
      <c r="Z27" s="2381"/>
      <c r="AA27" s="2381"/>
      <c r="AB27" s="548"/>
      <c r="AC27" s="2381" t="str">
        <f>IF(TITLE_NAME_OR_PR_CHANGE="",IF(TITLE_NAME_OR_PR="","",TITLE_NAME_OR_PR),TITLE_NAME_OR_PR_CHANGE)</f>
        <v/>
      </c>
      <c r="AD27" s="2381"/>
      <c r="AE27" s="2381"/>
      <c r="AF27" s="2381"/>
      <c r="AG27" s="2381"/>
      <c r="AH27" s="2381"/>
      <c r="AI27" s="548"/>
      <c r="AJ27" s="548"/>
      <c r="AK27" s="502"/>
      <c r="AL27" s="590"/>
      <c r="AM27" s="590"/>
      <c r="AN27" s="590"/>
      <c r="AO27" s="590"/>
      <c r="AP27" s="590"/>
    </row>
    <row s="16563" customFormat="1" customHeight="1" ht="18.75" hidden="1">
      <c r="A28" s="1595"/>
      <c r="B28" s="1595"/>
      <c r="C28" s="1595"/>
      <c r="D28" s="1595"/>
      <c r="E28" s="1595"/>
      <c r="F28" s="1595"/>
      <c r="G28" s="1595"/>
      <c r="H28" s="1595"/>
      <c r="I28" s="1595"/>
      <c r="J28" s="1595"/>
      <c r="K28" s="1595"/>
      <c r="L28" s="1596"/>
      <c r="M28" s="1595"/>
      <c r="N28" s="1595"/>
      <c r="O28" s="1595"/>
      <c r="S28" s="2379" t="s">
        <v>527</v>
      </c>
      <c r="T28" s="2379"/>
      <c r="U28" s="1599"/>
      <c r="V28" s="2380" t="str">
        <f>IF(TITLE_DATE_PR_CHANGE="",IF(TITLE_DATE_PR="","",TITLE_DATE_PR),TITLE_DATE_PR_CHANGE)</f>
        <v>45407.47206018519</v>
      </c>
      <c r="W28" s="2380"/>
      <c r="X28" s="2380"/>
      <c r="Y28" s="2380"/>
      <c r="Z28" s="2380"/>
      <c r="AA28" s="2380"/>
      <c r="AB28" s="548"/>
      <c r="AC28" s="2380" t="str">
        <f>IF(TITLE_DATE_PR_CHANGE="",IF(TITLE_DATE_PR="","",TITLE_DATE_PR),TITLE_DATE_PR_CHANGE)</f>
        <v>45407.47206018519</v>
      </c>
      <c r="AD28" s="2380"/>
      <c r="AE28" s="2380"/>
      <c r="AF28" s="2380"/>
      <c r="AG28" s="2380"/>
      <c r="AH28" s="2380"/>
      <c r="AI28" s="548"/>
      <c r="AJ28" s="548"/>
      <c r="AK28" s="502"/>
      <c r="AL28" s="590"/>
      <c r="AM28" s="590"/>
      <c r="AN28" s="590"/>
      <c r="AO28" s="590"/>
      <c r="AP28" s="590"/>
    </row>
    <row s="16563" customFormat="1" customHeight="1" ht="18.75" hidden="1">
      <c r="A29" s="1595"/>
      <c r="B29" s="1595"/>
      <c r="C29" s="1595"/>
      <c r="D29" s="1595"/>
      <c r="E29" s="1595"/>
      <c r="F29" s="1595"/>
      <c r="G29" s="1595"/>
      <c r="H29" s="1595"/>
      <c r="I29" s="1595"/>
      <c r="J29" s="1595"/>
      <c r="K29" s="1595"/>
      <c r="L29" s="1596"/>
      <c r="M29" s="1595"/>
      <c r="N29" s="1595"/>
      <c r="O29" s="1595"/>
      <c r="S29" s="2379" t="s">
        <v>528</v>
      </c>
      <c r="T29" s="2379"/>
      <c r="U29" s="1599"/>
      <c r="V29" s="2381" t="str">
        <f>IF(TITLE_NUMBER_PR_CHANGE="",IF(TITLE_NUMBER_PR="","",TITLE_NUMBER_PR),TITLE_NUMBER_PR_CHANGE)</f>
        <v>27-2067</v>
      </c>
      <c r="W29" s="2381"/>
      <c r="X29" s="2381"/>
      <c r="Y29" s="2381"/>
      <c r="Z29" s="2381"/>
      <c r="AA29" s="2381"/>
      <c r="AB29" s="548"/>
      <c r="AC29" s="2381" t="str">
        <f>IF(TITLE_NUMBER_PR_CHANGE="",IF(TITLE_NUMBER_PR="","",TITLE_NUMBER_PR),TITLE_NUMBER_PR_CHANGE)</f>
        <v>27-2067</v>
      </c>
      <c r="AD29" s="2381"/>
      <c r="AE29" s="2381"/>
      <c r="AF29" s="2381"/>
      <c r="AG29" s="2381"/>
      <c r="AH29" s="2381"/>
      <c r="AI29" s="548"/>
      <c r="AJ29" s="548"/>
      <c r="AK29" s="502"/>
      <c r="AL29" s="590"/>
      <c r="AM29" s="590"/>
      <c r="AN29" s="590"/>
      <c r="AO29" s="590"/>
      <c r="AP29" s="590"/>
    </row>
    <row s="16563" customFormat="1" customHeight="1" ht="18.75" hidden="1">
      <c r="A30" s="1595"/>
      <c r="B30" s="1595"/>
      <c r="C30" s="1595"/>
      <c r="D30" s="1595"/>
      <c r="E30" s="1595"/>
      <c r="F30" s="1595"/>
      <c r="G30" s="1595"/>
      <c r="H30" s="1595"/>
      <c r="I30" s="1595"/>
      <c r="J30" s="1595"/>
      <c r="K30" s="1595"/>
      <c r="L30" s="1596"/>
      <c r="M30" s="1595"/>
      <c r="N30" s="1595"/>
      <c r="O30" s="1595"/>
      <c r="S30" s="2379" t="s">
        <v>39</v>
      </c>
      <c r="T30" s="2379"/>
      <c r="U30" s="1599"/>
      <c r="V30" s="2381" t="str">
        <f>IF(TITLE_IST_PUB_CHANGE="",IF(TITLE_IST_PUB="","",TITLE_IST_PUB),TITLE_IST_PUB_CHANGE)</f>
        <v/>
      </c>
      <c r="W30" s="2381"/>
      <c r="X30" s="2381"/>
      <c r="Y30" s="2381"/>
      <c r="Z30" s="2381"/>
      <c r="AA30" s="2381"/>
      <c r="AB30" s="548"/>
      <c r="AC30" s="2381" t="str">
        <f>IF(TITLE_IST_PUB_CHANGE="",IF(TITLE_IST_PUB="","",TITLE_IST_PUB),TITLE_IST_PUB_CHANGE)</f>
        <v/>
      </c>
      <c r="AD30" s="2381"/>
      <c r="AE30" s="2381"/>
      <c r="AF30" s="2381"/>
      <c r="AG30" s="2381"/>
      <c r="AH30" s="2381"/>
      <c r="AI30" s="548"/>
      <c r="AJ30" s="548"/>
      <c r="AK30" s="502"/>
      <c r="AL30" s="590"/>
      <c r="AM30" s="590"/>
      <c r="AN30" s="590"/>
      <c r="AO30" s="590"/>
      <c r="AP30" s="590"/>
    </row>
    <row customHeight="1" ht="14.25">
      <c r="Q31" s="598"/>
      <c r="R31" s="598"/>
      <c r="S31" s="1502"/>
      <c r="T31" s="585"/>
      <c r="U31" s="585"/>
      <c r="V31" s="544"/>
      <c r="W31" s="544"/>
      <c r="X31" s="544"/>
      <c r="Y31" s="544"/>
      <c r="Z31" s="544"/>
      <c r="AA31" s="544"/>
      <c r="AB31" s="544"/>
      <c r="AC31" s="544"/>
      <c r="AD31" s="544"/>
      <c r="AE31" s="544"/>
      <c r="AF31" s="544"/>
      <c r="AG31" s="544"/>
      <c r="AH31" s="544"/>
      <c r="AI31" s="544"/>
      <c r="AJ31" s="731"/>
    </row>
    <row s="16563" customFormat="1" customHeight="1" ht="18.75">
      <c r="A32" s="1595"/>
      <c r="B32" s="1595"/>
      <c r="C32" s="1595"/>
      <c r="D32" s="1595"/>
      <c r="E32" s="1595"/>
      <c r="F32" s="1595"/>
      <c r="G32" s="1595"/>
      <c r="H32" s="1595"/>
      <c r="I32" s="1595"/>
      <c r="J32" s="1595"/>
      <c r="K32" s="1595"/>
      <c r="L32" s="1596"/>
      <c r="M32" s="1595"/>
      <c r="N32" s="1595"/>
      <c r="O32" s="1595"/>
      <c r="S32" s="2379" t="s">
        <v>529</v>
      </c>
      <c r="T32" s="2379"/>
      <c r="U32" s="1599"/>
      <c r="V32" s="2380" t="str">
        <f>IF(TITLE_DATE_PR_CHANGE="",IF(TITLE_DATE_PR="","",TITLE_DATE_PR),TITLE_DATE_PR_CHANGE)</f>
        <v>45407.47206018519</v>
      </c>
      <c r="W32" s="2380"/>
      <c r="X32" s="2380"/>
      <c r="Y32" s="2380"/>
      <c r="Z32" s="2380"/>
      <c r="AA32" s="2380"/>
      <c r="AB32" s="548"/>
      <c r="AC32" s="2380" t="str">
        <f>IF(TITLE_DATE_PR_CHANGE="",IF(TITLE_DATE_PR="","",TITLE_DATE_PR),TITLE_DATE_PR_CHANGE)</f>
        <v>45407.47206018519</v>
      </c>
      <c r="AD32" s="2380"/>
      <c r="AE32" s="2380"/>
      <c r="AF32" s="2380"/>
      <c r="AG32" s="2380"/>
      <c r="AH32" s="2380"/>
      <c r="AI32" s="548"/>
      <c r="AJ32" s="548"/>
      <c r="AK32" s="502"/>
      <c r="AL32" s="590"/>
      <c r="AM32" s="590"/>
      <c r="AN32" s="590"/>
      <c r="AO32" s="590"/>
      <c r="AP32" s="590"/>
    </row>
    <row s="16563" customFormat="1" customHeight="1" ht="18.75">
      <c r="A33" s="1595"/>
      <c r="B33" s="1595"/>
      <c r="C33" s="1595"/>
      <c r="D33" s="1595"/>
      <c r="E33" s="1595"/>
      <c r="F33" s="1595"/>
      <c r="G33" s="1595"/>
      <c r="H33" s="1595"/>
      <c r="I33" s="1595"/>
      <c r="J33" s="1595"/>
      <c r="K33" s="1595"/>
      <c r="L33" s="1596"/>
      <c r="M33" s="1595"/>
      <c r="N33" s="1595"/>
      <c r="O33" s="1595"/>
      <c r="S33" s="2379" t="s">
        <v>530</v>
      </c>
      <c r="T33" s="2379"/>
      <c r="U33" s="1599"/>
      <c r="V33" s="2381" t="str">
        <f>IF(TITLE_NUMBER_PR_CHANGE="",IF(TITLE_NUMBER_PR="","",TITLE_NUMBER_PR),TITLE_NUMBER_PR_CHANGE)</f>
        <v>27-2067</v>
      </c>
      <c r="W33" s="2381"/>
      <c r="X33" s="2381"/>
      <c r="Y33" s="2381"/>
      <c r="Z33" s="2381"/>
      <c r="AA33" s="2381"/>
      <c r="AB33" s="548"/>
      <c r="AC33" s="2381" t="str">
        <f>IF(TITLE_NUMBER_PR_CHANGE="",IF(TITLE_NUMBER_PR="","",TITLE_NUMBER_PR),TITLE_NUMBER_PR_CHANGE)</f>
        <v>27-2067</v>
      </c>
      <c r="AD33" s="2381"/>
      <c r="AE33" s="2381"/>
      <c r="AF33" s="2381"/>
      <c r="AG33" s="2381"/>
      <c r="AH33" s="2381"/>
      <c r="AI33" s="548"/>
      <c r="AJ33" s="548"/>
      <c r="AK33" s="502"/>
      <c r="AL33" s="590"/>
      <c r="AM33" s="590"/>
      <c r="AN33" s="590"/>
      <c r="AO33" s="590"/>
      <c r="AP33" s="590"/>
    </row>
    <row s="16563" customFormat="1" customHeight="1" ht="0.75">
      <c r="A34" s="1595"/>
      <c r="B34" s="1595"/>
      <c r="C34" s="1595"/>
      <c r="D34" s="1595"/>
      <c r="E34" s="1595"/>
      <c r="F34" s="1595"/>
      <c r="G34" s="1595"/>
      <c r="H34" s="1595"/>
      <c r="I34" s="1595"/>
      <c r="J34" s="1595"/>
      <c r="K34" s="1595"/>
      <c r="L34" s="1596"/>
      <c r="M34" s="1595"/>
      <c r="N34" s="1595"/>
      <c r="O34" s="1595"/>
      <c r="S34" s="545"/>
      <c r="T34" s="545"/>
      <c r="U34" s="1681"/>
      <c r="V34" s="548"/>
      <c r="W34" s="548"/>
      <c r="X34" s="548"/>
      <c r="Y34" s="548"/>
      <c r="Z34" s="548"/>
      <c r="AA34" s="548"/>
      <c r="AB34" s="500" t="s">
        <v>531</v>
      </c>
      <c r="AC34" s="548"/>
      <c r="AD34" s="548"/>
      <c r="AE34" s="548"/>
      <c r="AF34" s="548"/>
      <c r="AG34" s="548"/>
      <c r="AH34" s="548"/>
      <c r="AI34" s="500" t="s">
        <v>531</v>
      </c>
      <c r="AL34" s="590"/>
      <c r="AM34" s="590"/>
      <c r="AN34" s="590"/>
      <c r="AO34" s="590"/>
      <c r="AP34" s="590"/>
    </row>
    <row customHeight="1" ht="14.25">
      <c r="Q35" s="598"/>
      <c r="R35" s="598"/>
      <c r="S35" s="1502"/>
      <c r="T35" s="585"/>
      <c r="U35" s="1470"/>
      <c r="V35" s="2405"/>
      <c r="W35" s="2405"/>
      <c r="X35" s="2405"/>
      <c r="Y35" s="2405"/>
      <c r="Z35" s="2405"/>
      <c r="AA35" s="2405"/>
      <c r="AB35" s="2405"/>
      <c r="AC35" s="2405"/>
      <c r="AD35" s="2405"/>
      <c r="AE35" s="2405"/>
      <c r="AF35" s="2405"/>
      <c r="AG35" s="2405"/>
      <c r="AH35" s="2405"/>
      <c r="AI35" s="2405"/>
    </row>
    <row customHeight="1" ht="14.25">
      <c r="Q36" s="598"/>
      <c r="R36" s="598"/>
      <c r="S36" s="2253" t="s">
        <v>406</v>
      </c>
      <c r="T36" s="2253"/>
      <c r="U36" s="2253"/>
      <c r="V36" s="2253"/>
      <c r="W36" s="2253"/>
      <c r="X36" s="2253"/>
      <c r="Y36" s="2253"/>
      <c r="Z36" s="2253"/>
      <c r="AA36" s="2253"/>
      <c r="AB36" s="2253"/>
      <c r="AC36" s="2253"/>
      <c r="AD36" s="2253"/>
      <c r="AE36" s="2253"/>
      <c r="AF36" s="2253"/>
      <c r="AG36" s="2253"/>
      <c r="AH36" s="2253"/>
      <c r="AI36" s="2253"/>
      <c r="AJ36" s="2253"/>
      <c r="AK36" s="2253" t="s">
        <v>407</v>
      </c>
    </row>
    <row customHeight="1" ht="14.25">
      <c r="Q37" s="598"/>
      <c r="R37" s="598"/>
      <c r="S37" s="2406" t="s">
        <v>84</v>
      </c>
      <c r="T37" s="2343" t="s">
        <v>532</v>
      </c>
      <c r="U37" s="523"/>
      <c r="V37" s="2407" t="s">
        <v>533</v>
      </c>
      <c r="W37" s="2408"/>
      <c r="X37" s="2408"/>
      <c r="Y37" s="2408"/>
      <c r="Z37" s="2408"/>
      <c r="AA37" s="2409"/>
      <c r="AB37" s="2410" t="s">
        <v>534</v>
      </c>
      <c r="AC37" s="2407" t="s">
        <v>533</v>
      </c>
      <c r="AD37" s="2408"/>
      <c r="AE37" s="2408"/>
      <c r="AF37" s="2408"/>
      <c r="AG37" s="2408"/>
      <c r="AH37" s="2409"/>
      <c r="AI37" s="2410" t="s">
        <v>535</v>
      </c>
      <c r="AJ37" s="2413" t="s">
        <v>536</v>
      </c>
      <c r="AK37" s="2253"/>
    </row>
    <row customHeight="1" ht="33.75">
      <c r="Q38" s="598"/>
      <c r="R38" s="598"/>
      <c r="S38" s="2406"/>
      <c r="T38" s="2343"/>
      <c r="U38" s="1254"/>
      <c r="V38" s="1679" t="s">
        <v>593</v>
      </c>
      <c r="W38" s="2399" t="s">
        <v>539</v>
      </c>
      <c r="X38" s="2401"/>
      <c r="Y38" s="2399" t="s">
        <v>540</v>
      </c>
      <c r="Z38" s="2400"/>
      <c r="AA38" s="2401"/>
      <c r="AB38" s="2411"/>
      <c r="AC38" s="1679" t="s">
        <v>593</v>
      </c>
      <c r="AD38" s="2399" t="s">
        <v>539</v>
      </c>
      <c r="AE38" s="2401"/>
      <c r="AF38" s="2399" t="s">
        <v>540</v>
      </c>
      <c r="AG38" s="2400"/>
      <c r="AH38" s="2401"/>
      <c r="AI38" s="2411"/>
      <c r="AJ38" s="2414"/>
      <c r="AK38" s="2253"/>
    </row>
    <row customHeight="1" ht="33.75">
      <c r="A39" s="1597"/>
      <c r="B39" s="1597" t="s">
        <v>191</v>
      </c>
      <c r="C39" s="1597" t="s">
        <v>192</v>
      </c>
      <c r="D39" s="1597" t="s">
        <v>193</v>
      </c>
      <c r="E39" s="1591" t="s">
        <v>541</v>
      </c>
      <c r="F39" s="1591" t="s">
        <v>542</v>
      </c>
      <c r="G39" s="1591" t="s">
        <v>543</v>
      </c>
      <c r="H39" s="1591"/>
      <c r="I39" s="1591" t="s">
        <v>594</v>
      </c>
      <c r="J39" s="1591" t="s">
        <v>546</v>
      </c>
      <c r="K39" s="1591" t="s">
        <v>595</v>
      </c>
      <c r="L39" s="1591" t="s">
        <v>522</v>
      </c>
      <c r="Q39" s="598"/>
      <c r="R39" s="598"/>
      <c r="S39" s="2406"/>
      <c r="T39" s="2343"/>
      <c r="U39" s="524"/>
      <c r="V39" s="1679" t="s">
        <v>596</v>
      </c>
      <c r="W39" s="1448" t="s">
        <v>597</v>
      </c>
      <c r="X39" s="1448" t="s">
        <v>598</v>
      </c>
      <c r="Y39" s="1682" t="s">
        <v>550</v>
      </c>
      <c r="Z39" s="2402" t="s">
        <v>551</v>
      </c>
      <c r="AA39" s="2403"/>
      <c r="AB39" s="2412"/>
      <c r="AC39" s="1679" t="s">
        <v>596</v>
      </c>
      <c r="AD39" s="1448" t="s">
        <v>597</v>
      </c>
      <c r="AE39" s="1448" t="s">
        <v>598</v>
      </c>
      <c r="AF39" s="1682" t="s">
        <v>550</v>
      </c>
      <c r="AG39" s="2402" t="s">
        <v>551</v>
      </c>
      <c r="AH39" s="2403"/>
      <c r="AI39" s="2412"/>
      <c r="AJ39" s="2415"/>
      <c r="AK39" s="2253"/>
    </row>
    <row s="16382" customFormat="1" customHeight="1" ht="0">
      <c r="A40" s="1597"/>
      <c r="B40" s="1597"/>
      <c r="C40" s="1597"/>
      <c r="D40" s="1597"/>
      <c r="E40" s="1597"/>
      <c r="F40" s="1597"/>
      <c r="G40" s="1597"/>
      <c r="H40" s="1597"/>
      <c r="I40" s="1597"/>
      <c r="J40" s="1597"/>
      <c r="K40" s="1597"/>
      <c r="L40" s="1591"/>
      <c r="M40" s="1589"/>
      <c r="N40" s="1589"/>
      <c r="O40" s="1589"/>
      <c r="P40" s="1472"/>
      <c r="Q40" s="1473"/>
      <c r="R40" s="1480">
        <v>1</v>
      </c>
      <c r="S40" s="1504" t="s">
        <v>168</v>
      </c>
      <c r="T40" s="1481" t="s">
        <v>99</v>
      </c>
      <c r="U40" s="1471" t="str">
        <f>OFFSET(U40,0,-1)</f>
        <v>2</v>
      </c>
      <c r="V40" s="1678">
        <f>OFFSET(V40,0,-1)+1</f>
        <v>3</v>
      </c>
      <c r="W40" s="1678">
        <f>OFFSET(W40,0,-1)+1</f>
        <v>4</v>
      </c>
      <c r="X40" s="1678">
        <f>OFFSET(X40,0,-1)+1</f>
        <v>5</v>
      </c>
      <c r="Y40" s="1678">
        <f>OFFSET(Y40,0,-1)+1</f>
        <v>6</v>
      </c>
      <c r="Z40" s="2404">
        <f>OFFSET(Z40,0,-1)+1</f>
        <v>7</v>
      </c>
      <c r="AA40" s="2404"/>
      <c r="AB40" s="1678">
        <f>OFFSET(AB40,0,-2)+1</f>
        <v>8</v>
      </c>
      <c r="AC40" s="1678">
        <f>OFFSET(AC40,0,-1)+1</f>
        <v>9</v>
      </c>
      <c r="AD40" s="1678">
        <f>OFFSET(AD40,0,-1)+1</f>
        <v>10</v>
      </c>
      <c r="AE40" s="1678">
        <f>OFFSET(AE40,0,-1)+1</f>
        <v>11</v>
      </c>
      <c r="AF40" s="1678">
        <f>OFFSET(AF40,0,-1)+1</f>
        <v>12</v>
      </c>
      <c r="AG40" s="2404">
        <f>OFFSET(AG40,0,-1)+1</f>
        <v>13</v>
      </c>
      <c r="AH40" s="2404"/>
      <c r="AI40" s="1678">
        <f>OFFSET(AI40,0,-2)+1</f>
        <v>14</v>
      </c>
      <c r="AJ40" s="1471">
        <f>OFFSET(AJ40,0,-1)</f>
        <v>14</v>
      </c>
      <c r="AK40" s="1678">
        <f>OFFSET(AK40,0,-1)+1</f>
        <v>15</v>
      </c>
      <c r="AL40" s="733"/>
      <c r="AM40" s="733"/>
      <c r="AN40" s="733"/>
      <c r="AO40" s="733"/>
      <c r="AP40" s="733"/>
    </row>
    <row customHeight="1" ht="23.25">
      <c r="A41" s="1590" t="s">
        <v>289</v>
      </c>
      <c r="B41" s="1590"/>
      <c r="C41" s="1590"/>
      <c r="D41" s="1590"/>
      <c r="E41" s="2388">
        <v>1</v>
      </c>
      <c r="F41" s="1590"/>
      <c r="G41" s="1590"/>
      <c r="H41" s="1590"/>
      <c r="I41" s="1590"/>
      <c r="J41" s="1590"/>
      <c r="K41" s="1590"/>
      <c r="L41" s="1591"/>
      <c r="M41" s="1592"/>
      <c r="N41" s="1592"/>
      <c r="O41" s="1592"/>
      <c r="P41" s="583"/>
      <c r="Q41" s="582"/>
      <c r="R41" s="577"/>
      <c r="S41" s="1684">
        <f>INDEX(PT_DIFFERENTIATION_NUM_NTAR,MATCH(A41,PT_DIFFERENTIATION_NTAR_ID,0))</f>
        <v>0</v>
      </c>
      <c r="T41" s="520" t="s">
        <v>179</v>
      </c>
      <c r="U41" s="522"/>
      <c r="V41" s="2382"/>
      <c r="W41" s="2383"/>
      <c r="X41" s="2383"/>
      <c r="Y41" s="2383"/>
      <c r="Z41" s="2383"/>
      <c r="AA41" s="2383"/>
      <c r="AB41" s="2384"/>
      <c r="AC41" s="2382" t="str">
        <f>INDEX(PT_DIFFERENTIATION_NTAR,MATCH(A41,PT_DIFFERENTIATION_NTAR_ID,0))</f>
        <v/>
      </c>
      <c r="AD41" s="2383"/>
      <c r="AE41" s="2383"/>
      <c r="AF41" s="2383"/>
      <c r="AG41" s="2383"/>
      <c r="AH41" s="2383"/>
      <c r="AI41" s="2383"/>
      <c r="AJ41" s="2384"/>
      <c r="AK41" s="14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2"/>
      <c r="AN41" s="722" t="str">
        <f>IF(T41="","",T41)</f>
        <v>Наименование тарифа</v>
      </c>
      <c r="AO41" s="722"/>
      <c r="AP41" s="722"/>
    </row>
    <row customHeight="1" ht="23.25">
      <c r="A42" s="1590" t="s">
        <v>289</v>
      </c>
      <c r="B42" s="1590" t="s">
        <v>290</v>
      </c>
      <c r="C42" s="1590"/>
      <c r="D42" s="1590"/>
      <c r="E42" s="2389"/>
      <c r="F42" s="2388">
        <v>1</v>
      </c>
      <c r="G42" s="1590"/>
      <c r="H42" s="1590"/>
      <c r="I42" s="1590"/>
      <c r="J42" s="1590"/>
      <c r="K42" s="1590"/>
      <c r="L42" s="1591"/>
      <c r="M42" s="1592"/>
      <c r="N42" s="1592"/>
      <c r="O42" s="1592"/>
      <c r="P42" s="1680"/>
      <c r="Q42" s="574"/>
      <c r="R42" s="575"/>
      <c r="S42" s="1684" t="str">
        <f>INDEX(PT_DIFFERENTIATION_NUM_TER,MATCH(B42,PT_DIFFERENTIATION_TER_ID,0))</f>
        <v>.</v>
      </c>
      <c r="T42" s="530" t="s">
        <v>503</v>
      </c>
      <c r="U42" s="522"/>
      <c r="V42" s="2382"/>
      <c r="W42" s="2383"/>
      <c r="X42" s="2383"/>
      <c r="Y42" s="2383"/>
      <c r="Z42" s="2383"/>
      <c r="AA42" s="2383"/>
      <c r="AB42" s="2384"/>
      <c r="AC42" s="2382" t="str">
        <f>INDEX(PT_DIFFERENTIATION_TER,MATCH(B42,PT_DIFFERENTIATION_TER_ID,0))</f>
        <v/>
      </c>
      <c r="AD42" s="2383"/>
      <c r="AE42" s="2383"/>
      <c r="AF42" s="2383"/>
      <c r="AG42" s="2383"/>
      <c r="AH42" s="2383"/>
      <c r="AI42" s="2383"/>
      <c r="AJ42" s="2384"/>
      <c r="AK42" s="1484" t="s">
        <v>504</v>
      </c>
      <c r="AM42" s="722"/>
      <c r="AN42" s="722" t="str">
        <f>IF(T42="","",T42)</f>
        <v>Территория действия тарифа</v>
      </c>
      <c r="AO42" s="722"/>
      <c r="AP42" s="722"/>
    </row>
    <row customHeight="1" ht="23.25">
      <c r="A43" s="1590" t="s">
        <v>289</v>
      </c>
      <c r="B43" s="1590" t="s">
        <v>290</v>
      </c>
      <c r="C43" s="1590" t="s">
        <v>291</v>
      </c>
      <c r="D43" s="1590"/>
      <c r="E43" s="2389"/>
      <c r="F43" s="2389"/>
      <c r="G43" s="2388">
        <v>1</v>
      </c>
      <c r="H43" s="1590"/>
      <c r="I43" s="1590"/>
      <c r="J43" s="1590"/>
      <c r="K43" s="1590"/>
      <c r="L43" s="1591"/>
      <c r="M43" s="1592"/>
      <c r="N43" s="1592"/>
      <c r="O43" s="1592"/>
      <c r="P43" s="576"/>
      <c r="Q43" s="574"/>
      <c r="R43" s="575"/>
      <c r="S43" s="1684" t="str">
        <f>INDEX(PT_DIFFERENTIATION_NUM_CS,MATCH(C43,PT_DIFFERENTIATION_CS_ID,0))</f>
        <v>..</v>
      </c>
      <c r="T43" s="531" t="s">
        <v>585</v>
      </c>
      <c r="U43" s="522"/>
      <c r="V43" s="2382"/>
      <c r="W43" s="2383"/>
      <c r="X43" s="2383"/>
      <c r="Y43" s="2383"/>
      <c r="Z43" s="2383"/>
      <c r="AA43" s="2383"/>
      <c r="AB43" s="2384"/>
      <c r="AC43" s="2382" t="str">
        <f>INDEX(PT_DIFFERENTIATION_CS,MATCH(C43,PT_DIFFERENTIATION_CS_ID,0))</f>
        <v/>
      </c>
      <c r="AD43" s="2383"/>
      <c r="AE43" s="2383"/>
      <c r="AF43" s="2383"/>
      <c r="AG43" s="2383"/>
      <c r="AH43" s="2383"/>
      <c r="AI43" s="2383"/>
      <c r="AJ43" s="2384"/>
      <c r="AK43" s="1484" t="s">
        <v>586</v>
      </c>
      <c r="AM43" s="722"/>
      <c r="AN43" s="722" t="str">
        <f>IF(T43="","",T43)</f>
        <v>Наименование централизованной системы холодного водоснабжения</v>
      </c>
      <c r="AO43" s="722"/>
      <c r="AP43" s="722"/>
    </row>
    <row customHeight="1" ht="23.25">
      <c r="A44" s="1590" t="s">
        <v>289</v>
      </c>
      <c r="B44" s="1590" t="s">
        <v>290</v>
      </c>
      <c r="C44" s="1590" t="s">
        <v>291</v>
      </c>
      <c r="D44" s="1590" t="s">
        <v>602</v>
      </c>
      <c r="E44" s="2389"/>
      <c r="F44" s="2389"/>
      <c r="G44" s="2389"/>
      <c r="H44" s="2389"/>
      <c r="I44" s="2390" t="str">
        <f>S43&amp;".1"</f>
        <v>...1</v>
      </c>
      <c r="J44" s="1590"/>
      <c r="K44" s="1590"/>
      <c r="L44" s="1591"/>
      <c r="P44" s="2392">
        <v>1</v>
      </c>
      <c r="Q44" s="1677"/>
      <c r="R44" s="578"/>
      <c r="S44" s="1684" t="str">
        <f>$I44</f>
        <v>...1</v>
      </c>
      <c r="T44" s="507" t="s">
        <v>587</v>
      </c>
      <c r="U44" s="522"/>
      <c r="V44" s="2475"/>
      <c r="W44" s="2476"/>
      <c r="X44" s="2476"/>
      <c r="Y44" s="2476"/>
      <c r="Z44" s="2476"/>
      <c r="AA44" s="2476"/>
      <c r="AB44" s="2477"/>
      <c r="AC44" s="2478"/>
      <c r="AD44" s="2479"/>
      <c r="AE44" s="2479"/>
      <c r="AF44" s="2479"/>
      <c r="AG44" s="2479"/>
      <c r="AH44" s="2479"/>
      <c r="AI44" s="2479"/>
      <c r="AJ44" s="2480"/>
      <c r="AK44" s="1484" t="s">
        <v>588</v>
      </c>
      <c r="AM44" s="722"/>
      <c r="AN44" s="722" t="str">
        <f>IF(T44="","",T44)</f>
        <v>Наименование признака дифференциации</v>
      </c>
      <c r="AO44" s="722"/>
      <c r="AP44" s="722"/>
    </row>
    <row customHeight="1" ht="23.25">
      <c r="A45" s="1590" t="s">
        <v>289</v>
      </c>
      <c r="B45" s="1590" t="s">
        <v>290</v>
      </c>
      <c r="C45" s="1590" t="s">
        <v>291</v>
      </c>
      <c r="D45" s="1590" t="s">
        <v>602</v>
      </c>
      <c r="E45" s="2389"/>
      <c r="F45" s="2389"/>
      <c r="G45" s="2389"/>
      <c r="H45" s="2389"/>
      <c r="I45" s="2391"/>
      <c r="J45" s="2390" t="str">
        <f>I44&amp;".1"</f>
        <v>...1.1</v>
      </c>
      <c r="K45" s="1590"/>
      <c r="L45" s="1591" t="s">
        <v>512</v>
      </c>
      <c r="P45" s="2392"/>
      <c r="Q45" s="2392">
        <v>1</v>
      </c>
      <c r="R45" s="579"/>
      <c r="S45" s="1684" t="str">
        <f>$J45</f>
        <v>...1.1</v>
      </c>
      <c r="T45" s="508" t="s">
        <v>513</v>
      </c>
      <c r="U45" s="522"/>
      <c r="V45" s="2376"/>
      <c r="W45" s="2377"/>
      <c r="X45" s="2377"/>
      <c r="Y45" s="2377"/>
      <c r="Z45" s="2377"/>
      <c r="AA45" s="2377"/>
      <c r="AB45" s="2378"/>
      <c r="AC45" s="2376"/>
      <c r="AD45" s="2377"/>
      <c r="AE45" s="2377"/>
      <c r="AF45" s="2377"/>
      <c r="AG45" s="2377"/>
      <c r="AH45" s="2377"/>
      <c r="AI45" s="2377"/>
      <c r="AJ45" s="2378"/>
      <c r="AK45" s="1534" t="s">
        <v>589</v>
      </c>
      <c r="AM45" s="722"/>
      <c r="AN45" s="722" t="str">
        <f>IF(T45="","",T45)</f>
        <v>Группа потребителей</v>
      </c>
      <c r="AO45" s="722"/>
      <c r="AP45" s="722"/>
    </row>
    <row customHeight="1" ht="23.25">
      <c r="A46" s="1590" t="s">
        <v>289</v>
      </c>
      <c r="B46" s="1590" t="s">
        <v>290</v>
      </c>
      <c r="C46" s="1590" t="s">
        <v>291</v>
      </c>
      <c r="D46" s="1590" t="s">
        <v>602</v>
      </c>
      <c r="E46" s="2389"/>
      <c r="F46" s="2389"/>
      <c r="G46" s="2389"/>
      <c r="H46" s="2389"/>
      <c r="I46" s="2391"/>
      <c r="J46" s="2391"/>
      <c r="K46" s="2390" t="str">
        <f>J45&amp;".1"</f>
        <v>...1.1.1</v>
      </c>
      <c r="L46" s="1591"/>
      <c r="P46" s="2392"/>
      <c r="Q46" s="2392"/>
      <c r="R46" s="579">
        <v>1</v>
      </c>
      <c r="S46" s="1684" t="str">
        <f>$K46</f>
        <v>...1.1.1</v>
      </c>
      <c r="T46" s="1664"/>
      <c r="U46" s="522"/>
      <c r="V46" s="973"/>
      <c r="W46" s="973"/>
      <c r="X46" s="1483"/>
      <c r="Y46" s="2393"/>
      <c r="Z46" s="2263" t="s">
        <v>63</v>
      </c>
      <c r="AA46" s="2393"/>
      <c r="AB46" s="2263" t="s">
        <v>63</v>
      </c>
      <c r="AC46" s="973"/>
      <c r="AD46" s="973"/>
      <c r="AE46" s="1483"/>
      <c r="AF46" s="2393"/>
      <c r="AG46" s="2263" t="s">
        <v>63</v>
      </c>
      <c r="AH46" s="2395"/>
      <c r="AI46" s="2263" t="s">
        <v>63</v>
      </c>
      <c r="AJ46" s="1665"/>
      <c r="AK46" s="24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3">
        <f>STRCHECKDATE(V47:AJ47)</f>
      </c>
      <c r="AM46" s="722"/>
      <c r="AN46" s="722" t="str">
        <f>IF(T46="","",T46)</f>
        <v/>
      </c>
      <c r="AO46" s="722"/>
      <c r="AP46" s="722"/>
    </row>
    <row customHeight="1" ht="0">
      <c r="A47" s="1590" t="s">
        <v>289</v>
      </c>
      <c r="B47" s="1590" t="s">
        <v>290</v>
      </c>
      <c r="C47" s="1590" t="s">
        <v>291</v>
      </c>
      <c r="D47" s="1590" t="s">
        <v>602</v>
      </c>
      <c r="E47" s="2389"/>
      <c r="F47" s="2389"/>
      <c r="G47" s="2389"/>
      <c r="H47" s="2389"/>
      <c r="I47" s="2391"/>
      <c r="J47" s="2391"/>
      <c r="K47" s="2390"/>
      <c r="L47" s="1591"/>
      <c r="P47" s="2392"/>
      <c r="Q47" s="2392"/>
      <c r="R47" s="579"/>
      <c r="S47" s="1683"/>
      <c r="T47" s="522"/>
      <c r="U47" s="522"/>
      <c r="V47" s="547"/>
      <c r="W47" s="547"/>
      <c r="X47" s="550" t="str">
        <f>Y46&amp;"-"&amp;AA46</f>
        <v>-</v>
      </c>
      <c r="Y47" s="2394"/>
      <c r="Z47" s="2263"/>
      <c r="AA47" s="2394"/>
      <c r="AB47" s="2263"/>
      <c r="AC47" s="547"/>
      <c r="AD47" s="547"/>
      <c r="AE47" s="550" t="str">
        <f>AF46&amp;"-"&amp;AH46</f>
        <v>-</v>
      </c>
      <c r="AF47" s="2394"/>
      <c r="AG47" s="2263"/>
      <c r="AH47" s="2396"/>
      <c r="AI47" s="2263"/>
      <c r="AJ47" s="1666"/>
      <c r="AK47" s="2481"/>
      <c r="AM47" s="722"/>
      <c r="AN47" s="722" t="str">
        <f>IF(T47="","",T47)</f>
        <v/>
      </c>
      <c r="AO47" s="722"/>
      <c r="AP47" s="722"/>
    </row>
    <row customHeight="1" ht="21">
      <c r="A48" s="1590" t="s">
        <v>289</v>
      </c>
      <c r="B48" s="1590" t="s">
        <v>290</v>
      </c>
      <c r="C48" s="1590" t="s">
        <v>291</v>
      </c>
      <c r="D48" s="1590" t="s">
        <v>602</v>
      </c>
      <c r="E48" s="2389"/>
      <c r="F48" s="2389"/>
      <c r="G48" s="2389"/>
      <c r="H48" s="2389"/>
      <c r="I48" s="2391"/>
      <c r="J48" s="2390"/>
      <c r="K48" s="1590"/>
      <c r="L48" s="1591"/>
      <c r="P48" s="2392"/>
      <c r="Q48" s="2392"/>
      <c r="R48" s="578"/>
      <c r="S48" s="1505"/>
      <c r="T48" s="509" t="s">
        <v>590</v>
      </c>
      <c r="U48" s="589"/>
      <c r="V48" s="589"/>
      <c r="W48" s="589"/>
      <c r="X48" s="589"/>
      <c r="Y48" s="589"/>
      <c r="Z48" s="589"/>
      <c r="AA48" s="589"/>
      <c r="AB48" s="589"/>
      <c r="AC48" s="589"/>
      <c r="AD48" s="589"/>
      <c r="AE48" s="589"/>
      <c r="AF48" s="589"/>
      <c r="AG48" s="589"/>
      <c r="AH48" s="589"/>
      <c r="AI48" s="589"/>
      <c r="AJ48" s="589"/>
      <c r="AK48" s="1484" t="s">
        <v>591</v>
      </c>
      <c r="AM48" s="722"/>
      <c r="AN48" s="722" t="str">
        <f>IF(T48="","",T48)</f>
        <v>Добавить значение признака дифференциации</v>
      </c>
      <c r="AO48" s="722"/>
      <c r="AP48" s="722"/>
    </row>
    <row customHeight="1" ht="21">
      <c r="A49" s="1590" t="s">
        <v>289</v>
      </c>
      <c r="B49" s="1590" t="s">
        <v>290</v>
      </c>
      <c r="C49" s="1590" t="s">
        <v>291</v>
      </c>
      <c r="D49" s="1590" t="s">
        <v>602</v>
      </c>
      <c r="E49" s="2389"/>
      <c r="F49" s="2389"/>
      <c r="G49" s="2389"/>
      <c r="H49" s="2389"/>
      <c r="I49" s="2390"/>
      <c r="J49" s="1590"/>
      <c r="K49" s="1590"/>
      <c r="L49" s="1591"/>
      <c r="P49" s="2392"/>
      <c r="Q49" s="1677"/>
      <c r="R49" s="578"/>
      <c r="S49" s="1505"/>
      <c r="T49" s="587" t="s">
        <v>518</v>
      </c>
      <c r="U49" s="589"/>
      <c r="V49" s="589"/>
      <c r="W49" s="589"/>
      <c r="X49" s="589"/>
      <c r="Y49" s="589"/>
      <c r="Z49" s="589"/>
      <c r="AA49" s="589"/>
      <c r="AB49" s="588"/>
      <c r="AC49" s="589"/>
      <c r="AD49" s="589"/>
      <c r="AE49" s="589"/>
      <c r="AF49" s="589"/>
      <c r="AG49" s="589"/>
      <c r="AH49" s="589"/>
      <c r="AI49" s="588"/>
      <c r="AJ49" s="589"/>
      <c r="AK49" s="1667"/>
      <c r="AM49" s="722"/>
      <c r="AN49" s="722" t="str">
        <f>IF(T49="","",T49)</f>
        <v>Добавить группу потребителей</v>
      </c>
      <c r="AO49" s="722"/>
      <c r="AP49" s="722"/>
    </row>
    <row customHeight="1" ht="21">
      <c r="A50" s="1590" t="s">
        <v>289</v>
      </c>
      <c r="B50" s="1590" t="s">
        <v>290</v>
      </c>
      <c r="C50" s="1590" t="s">
        <v>291</v>
      </c>
      <c r="D50" s="1590" t="s">
        <v>602</v>
      </c>
      <c r="E50" s="2389"/>
      <c r="F50" s="2389"/>
      <c r="G50" s="2389"/>
      <c r="H50" s="2388"/>
      <c r="I50" s="1590"/>
      <c r="J50" s="1590"/>
      <c r="K50" s="1590"/>
      <c r="L50" s="1591"/>
      <c r="M50" s="1592"/>
      <c r="N50" s="1592"/>
      <c r="O50" s="759"/>
      <c r="P50" s="582"/>
      <c r="Q50" s="597"/>
      <c r="R50" s="577"/>
      <c r="S50" s="1505"/>
      <c r="T50" s="594" t="s">
        <v>592</v>
      </c>
      <c r="U50" s="589"/>
      <c r="V50" s="589"/>
      <c r="W50" s="589"/>
      <c r="X50" s="589"/>
      <c r="Y50" s="589"/>
      <c r="Z50" s="589"/>
      <c r="AA50" s="589"/>
      <c r="AB50" s="588"/>
      <c r="AC50" s="589"/>
      <c r="AD50" s="589"/>
      <c r="AE50" s="589"/>
      <c r="AF50" s="589"/>
      <c r="AG50" s="589"/>
      <c r="AH50" s="589"/>
      <c r="AI50" s="588"/>
      <c r="AJ50" s="589"/>
      <c r="AK50" s="525"/>
      <c r="AM50" s="722"/>
      <c r="AN50" s="722" t="str">
        <f>IF(T50="","",T50)</f>
        <v>Добавить наименование признака дифференциации</v>
      </c>
      <c r="AO50" s="722"/>
      <c r="AP50" s="722"/>
    </row>
    <row s="16531" customFormat="1" customHeight="1" ht="0">
      <c r="A51" s="1570" t="s">
        <v>289</v>
      </c>
      <c r="B51" s="1570" t="s">
        <v>290</v>
      </c>
      <c r="C51" s="1541"/>
      <c r="D51" s="1541"/>
      <c r="E51" s="2389"/>
      <c r="F51" s="2388"/>
      <c r="G51" s="1541"/>
      <c r="H51" s="1541"/>
      <c r="I51" s="1541"/>
      <c r="J51" s="1541"/>
      <c r="K51" s="1541"/>
      <c r="L51" s="1685"/>
      <c r="M51" s="1548"/>
      <c r="N51" s="1548"/>
      <c r="P51" s="1543"/>
      <c r="Q51" s="1544"/>
      <c r="R51" s="1543"/>
      <c r="S51" s="1549"/>
      <c r="T51" s="1552" t="s">
        <v>305</v>
      </c>
      <c r="U51" s="1551"/>
      <c r="V51" s="1551"/>
      <c r="W51" s="1551"/>
      <c r="X51" s="1551"/>
      <c r="Y51" s="1551"/>
      <c r="Z51" s="1551"/>
      <c r="AA51" s="1551"/>
      <c r="AB51" s="1551"/>
      <c r="AC51" s="1551"/>
      <c r="AD51" s="1551"/>
      <c r="AE51" s="1551"/>
      <c r="AF51" s="1551"/>
      <c r="AG51" s="1551"/>
      <c r="AH51" s="1551"/>
      <c r="AI51" s="1551"/>
      <c r="AJ51" s="1551"/>
      <c r="AK51" s="1551"/>
      <c r="AM51" s="1011"/>
      <c r="AN51" s="1011" t="str">
        <f>IF(T51="","",T51)</f>
        <v>Добавить централизованную систему для дифференциации</v>
      </c>
      <c r="AO51" s="1011"/>
      <c r="AP51" s="1011"/>
    </row>
    <row s="16622" customFormat="1" customHeight="1" ht="0">
      <c r="A52" s="1570" t="s">
        <v>289</v>
      </c>
      <c r="B52" s="1570"/>
      <c r="C52" s="1570"/>
      <c r="D52" s="1570"/>
      <c r="E52" s="2388"/>
      <c r="F52" s="1570"/>
      <c r="G52" s="1570"/>
      <c r="H52" s="1570"/>
      <c r="I52" s="1570"/>
      <c r="J52" s="1570"/>
      <c r="K52" s="1570"/>
      <c r="L52" s="1573"/>
      <c r="M52" s="1548"/>
      <c r="N52" s="1548"/>
      <c r="O52" s="740"/>
      <c r="P52" s="602"/>
      <c r="Q52" s="1571"/>
      <c r="R52" s="602"/>
      <c r="S52" s="1549"/>
      <c r="T52" s="1552" t="s">
        <v>358</v>
      </c>
      <c r="U52" s="1551"/>
      <c r="V52" s="1551"/>
      <c r="W52" s="1551"/>
      <c r="X52" s="1551"/>
      <c r="Y52" s="1551"/>
      <c r="Z52" s="1551"/>
      <c r="AA52" s="1551"/>
      <c r="AB52" s="1551"/>
      <c r="AC52" s="1551"/>
      <c r="AD52" s="1551"/>
      <c r="AE52" s="1551"/>
      <c r="AF52" s="1551"/>
      <c r="AG52" s="1551"/>
      <c r="AH52" s="1551"/>
      <c r="AI52" s="1551"/>
      <c r="AJ52" s="1551"/>
      <c r="AK52" s="1551"/>
      <c r="AM52" s="722"/>
      <c r="AN52" s="722" t="str">
        <f>IF(T52="","",T52)</f>
        <v>Добавить территорию для дифференциации</v>
      </c>
      <c r="AO52" s="722"/>
      <c r="AP52" s="722"/>
    </row>
    <row s="16531"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359</v>
      </c>
      <c r="U53" s="1551"/>
      <c r="V53" s="1551"/>
      <c r="W53" s="1551"/>
      <c r="X53" s="1551"/>
      <c r="Y53" s="1551"/>
      <c r="Z53" s="1551"/>
      <c r="AA53" s="1551"/>
      <c r="AB53" s="1551"/>
      <c r="AC53" s="1551"/>
      <c r="AD53" s="1551"/>
      <c r="AE53" s="1551"/>
      <c r="AF53" s="1551"/>
      <c r="AG53" s="1551"/>
      <c r="AH53" s="1551"/>
      <c r="AI53" s="1551"/>
      <c r="AJ53" s="1551"/>
      <c r="AK53" s="1551"/>
      <c r="AM53" s="1011"/>
      <c r="AN53" s="1011" t="str">
        <f>IF(T53="","",T53)</f>
        <v>Добавить наименование тарифа</v>
      </c>
      <c r="AO53" s="1011"/>
      <c r="AP53" s="1011"/>
    </row>
    <row customHeight="1" ht="11.25">
      <c r="M54" s="1384"/>
      <c r="N54" s="1384"/>
      <c r="O54" s="759"/>
      <c r="P54" s="1379"/>
      <c r="Q54" s="1379"/>
      <c r="R54" s="1379"/>
      <c r="S54" s="1379"/>
      <c r="AL54" s="1379"/>
      <c r="AM54" s="1379"/>
      <c r="AN54" s="1379"/>
      <c r="AO54" s="1379"/>
      <c r="AP54" s="1379"/>
    </row>
    <row customHeight="1" ht="14.25">
      <c r="O55" s="759"/>
      <c r="S55" s="1479"/>
      <c r="T55" s="2387"/>
      <c r="U55" s="2387"/>
      <c r="V55" s="2387"/>
      <c r="W55" s="2387"/>
      <c r="X55" s="2387"/>
      <c r="Y55" s="2387"/>
      <c r="Z55" s="2387"/>
      <c r="AA55" s="2387"/>
      <c r="AB55" s="2387"/>
      <c r="AC55" s="2387"/>
      <c r="AD55" s="2387"/>
      <c r="AE55" s="2387"/>
      <c r="AF55" s="2387"/>
      <c r="AG55" s="2387"/>
      <c r="AH55" s="2387"/>
      <c r="AI55" s="2387"/>
      <c r="AJ55" s="2387"/>
      <c r="AK55" s="2387"/>
    </row>
    <row customHeight="1" ht="14.25">
      <c r="O56" s="759"/>
    </row>
    <row customHeight="1" ht="14.25">
      <c r="O57" s="759"/>
      <c r="S57" s="1479"/>
      <c r="T57" s="2387"/>
      <c r="U57" s="2387"/>
      <c r="V57" s="2387"/>
      <c r="W57" s="2387"/>
      <c r="X57" s="2387"/>
      <c r="Y57" s="2387"/>
      <c r="Z57" s="2387"/>
      <c r="AA57" s="2387"/>
      <c r="AB57" s="2387"/>
      <c r="AC57" s="2387"/>
      <c r="AD57" s="2387"/>
      <c r="AE57" s="2387"/>
      <c r="AF57" s="2387"/>
      <c r="AG57" s="2387"/>
      <c r="AH57" s="2387"/>
      <c r="AI57" s="2387"/>
      <c r="AJ57" s="2387"/>
      <c r="AK57" s="23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FA73A9-59BE-02A2-53FC-E3573C978D37}" mc:Ignorable="x14ac xr xr2 xr3">
  <sheetPr>
    <tabColor theme="6" tint="0.4"/>
  </sheetPr>
  <dimension ref="A1:AP66"/>
  <sheetViews>
    <sheetView topLeftCell="A1" showGridLines="0" zoomScale="90" workbookViewId="0">
      <selection activeCell="AK27" sqref="AK27"/>
    </sheetView>
  </sheetViews>
  <sheetFormatPr defaultColWidth="10.57421875" customHeight="1" defaultRowHeight="14.25"/>
  <cols>
    <col min="1" max="3" style="16676" width="10.140625" customWidth="1"/>
    <col min="4" max="4" style="16676" width="11.8515625" customWidth="1"/>
    <col min="5" max="11" style="16676" width="10.140625" customWidth="1"/>
    <col min="12" max="12" style="16677" width="10.140625" customWidth="1"/>
    <col min="13" max="15" style="16678" width="10.140625" customWidth="1"/>
    <col min="16" max="16" style="16631" width="3.7109375" customWidth="1"/>
    <col min="17" max="17" style="16803" width="3.7109375" customWidth="1"/>
    <col min="18" max="18" style="16633" width="3.7109375" customWidth="1"/>
    <col min="19" max="19" style="16634" width="12.7109375" customWidth="1"/>
    <col min="20" max="20" style="16676" width="32.00390625" customWidth="1"/>
    <col min="21" max="21" style="16676" width="0.140625" customWidth="1"/>
    <col min="22" max="23" style="16676" width="21.7109375" customWidth="1"/>
    <col min="24" max="24" style="16676" width="11.7109375" customWidth="1"/>
    <col min="25" max="25" style="16676" width="3.7109375" customWidth="1"/>
    <col min="26" max="26" style="16676" width="11.7109375" customWidth="1"/>
    <col min="27" max="27" style="16676" width="8.57421875" customWidth="1"/>
    <col min="28" max="28" style="16676" width="28.00390625" customWidth="1"/>
    <col min="29" max="29" style="16676" width="24.57421875" customWidth="1"/>
    <col min="30" max="31" style="16676" width="21.7109375" customWidth="1"/>
    <col min="32" max="32" style="16676" width="11.7109375" customWidth="1"/>
    <col min="33" max="33" style="16676" width="3.7109375" customWidth="1"/>
    <col min="34" max="34" style="16676" width="11.7109375" customWidth="1"/>
    <col min="35" max="35" style="16676" width="8.57421875" customWidth="1"/>
    <col min="36" max="36" style="16676" width="4.7109375" customWidth="1"/>
    <col min="37" max="37" style="16676" width="115.7109375" customWidth="1"/>
    <col min="38" max="39" style="16674" width="10.57421875"/>
    <col min="40" max="40" style="16674" width="11.140625" customWidth="1"/>
    <col min="41" max="42" style="16674" width="10.57421875"/>
  </cols>
  <sheetData>
    <row r="2" customHeight="1" ht="21">
      <c r="A2" s="1494"/>
      <c r="B2" s="1494"/>
      <c r="C2" s="1494"/>
      <c r="D2" s="1494"/>
      <c r="E2" s="2423">
        <v>1</v>
      </c>
      <c r="F2" s="1494"/>
      <c r="G2" s="1494"/>
      <c r="H2" s="1494"/>
      <c r="I2" s="1494"/>
      <c r="J2" s="1494"/>
      <c r="K2" s="1494"/>
      <c r="L2" s="1537"/>
      <c r="M2" s="1837"/>
      <c r="N2" s="1837"/>
      <c r="O2" s="1837"/>
      <c r="P2" s="1636"/>
      <c r="Q2" s="1095"/>
      <c r="R2" s="577"/>
      <c r="S2" s="2186">
        <f>INDEX(PT_DIFFERENTIATION_NUM_NTAR,MATCH(A2,PT_DIFFERENTIATION_NTAR_ID,0))</f>
      </c>
      <c r="T2" s="1752" t="s">
        <v>179</v>
      </c>
      <c r="U2" s="522"/>
      <c r="V2" s="2383"/>
      <c r="W2" s="2383"/>
      <c r="X2" s="2383"/>
      <c r="Y2" s="2383"/>
      <c r="Z2" s="2383"/>
      <c r="AA2" s="2384"/>
      <c r="AB2" s="2180"/>
      <c r="AC2" s="2383"/>
      <c r="AD2" s="2383"/>
      <c r="AE2" s="2383"/>
      <c r="AF2" s="2383"/>
      <c r="AG2" s="2383"/>
      <c r="AH2" s="2383"/>
      <c r="AI2" s="2383"/>
      <c r="AJ2" s="2384"/>
      <c r="AK2" s="1484" t="s">
        <v>502</v>
      </c>
      <c r="AM2" s="1851"/>
      <c r="AN2" s="1851" t="str">
        <f>IF(T2="","",T2)</f>
        <v>Наименование тарифа</v>
      </c>
      <c r="AO2" s="1851"/>
      <c r="AP2" s="1851"/>
    </row>
    <row customHeight="1" ht="21">
      <c r="A3" s="1494"/>
      <c r="B3" s="1494"/>
      <c r="C3" s="1494"/>
      <c r="D3" s="1494"/>
      <c r="E3" s="2424"/>
      <c r="F3" s="2423">
        <v>1</v>
      </c>
      <c r="G3" s="1494"/>
      <c r="H3" s="1494"/>
      <c r="I3" s="1494"/>
      <c r="J3" s="1494"/>
      <c r="K3" s="1494"/>
      <c r="L3" s="1537"/>
      <c r="M3" s="1837"/>
      <c r="N3" s="1837"/>
      <c r="O3" s="1837"/>
      <c r="P3" s="2197"/>
      <c r="Q3" s="1638"/>
      <c r="R3" s="575"/>
      <c r="S3" s="2186">
        <f>INDEX(PT_DIFFERENTIATION_NUM_TER,MATCH(B3,PT_DIFFERENTIATION_TER_ID,0))</f>
      </c>
      <c r="T3" s="1749" t="s">
        <v>503</v>
      </c>
      <c r="U3" s="522"/>
      <c r="V3" s="2383"/>
      <c r="W3" s="2383"/>
      <c r="X3" s="2383"/>
      <c r="Y3" s="2383"/>
      <c r="Z3" s="2383"/>
      <c r="AA3" s="2384"/>
      <c r="AB3" s="2180"/>
      <c r="AC3" s="2383"/>
      <c r="AD3" s="2383"/>
      <c r="AE3" s="2383"/>
      <c r="AF3" s="2383"/>
      <c r="AG3" s="2383"/>
      <c r="AH3" s="2383"/>
      <c r="AI3" s="2383"/>
      <c r="AJ3" s="2384"/>
      <c r="AK3" s="1484" t="s">
        <v>504</v>
      </c>
      <c r="AM3" s="1851"/>
      <c r="AN3" s="1851" t="str">
        <f>IF(T3="","",T3)</f>
        <v>Территория действия тарифа</v>
      </c>
      <c r="AO3" s="1851"/>
      <c r="AP3" s="1851"/>
    </row>
    <row customHeight="1" ht="22.5">
      <c r="A4" s="1494"/>
      <c r="B4" s="1494"/>
      <c r="C4" s="1494"/>
      <c r="D4" s="1494"/>
      <c r="E4" s="2424"/>
      <c r="F4" s="2424"/>
      <c r="G4" s="2423">
        <v>1</v>
      </c>
      <c r="H4" s="1494"/>
      <c r="I4" s="1494"/>
      <c r="J4" s="1494"/>
      <c r="K4" s="1494"/>
      <c r="L4" s="1537"/>
      <c r="M4" s="1837"/>
      <c r="N4" s="1837"/>
      <c r="O4" s="1837"/>
      <c r="P4" s="1639"/>
      <c r="Q4" s="1638"/>
      <c r="R4" s="575"/>
      <c r="S4" s="2186">
        <f>INDEX(PT_DIFFERENTIATION_NUM_CS,MATCH(C4,PT_DIFFERENTIATION_CS_ID,0))</f>
      </c>
      <c r="T4" s="531" t="s">
        <v>505</v>
      </c>
      <c r="U4" s="522"/>
      <c r="V4" s="2383"/>
      <c r="W4" s="2383"/>
      <c r="X4" s="2383"/>
      <c r="Y4" s="2383"/>
      <c r="Z4" s="2383"/>
      <c r="AA4" s="2384"/>
      <c r="AB4" s="2180"/>
      <c r="AC4" s="2383"/>
      <c r="AD4" s="2383"/>
      <c r="AE4" s="2383"/>
      <c r="AF4" s="2383"/>
      <c r="AG4" s="2383"/>
      <c r="AH4" s="2383"/>
      <c r="AI4" s="2383"/>
      <c r="AJ4" s="2384"/>
      <c r="AK4" s="1484" t="s">
        <v>506</v>
      </c>
      <c r="AM4" s="1851"/>
      <c r="AN4" s="1851" t="str">
        <f>IF(T4="","",T4)</f>
        <v>Наименование системы теплоснабжения </v>
      </c>
      <c r="AO4" s="1851"/>
      <c r="AP4" s="1851"/>
    </row>
    <row customHeight="1" ht="21">
      <c r="A5" s="1494"/>
      <c r="B5" s="1494"/>
      <c r="C5" s="1494"/>
      <c r="D5" s="1494"/>
      <c r="E5" s="2424"/>
      <c r="F5" s="2424"/>
      <c r="G5" s="2424"/>
      <c r="H5" s="2423">
        <v>1</v>
      </c>
      <c r="I5" s="1494"/>
      <c r="J5" s="1494"/>
      <c r="K5" s="1494"/>
      <c r="L5" s="1537"/>
      <c r="M5" s="1837"/>
      <c r="N5" s="1837"/>
      <c r="O5" s="1837"/>
      <c r="P5" s="1639"/>
      <c r="Q5" s="1638"/>
      <c r="R5" s="575"/>
      <c r="S5" s="2186">
        <f>INDEX(PT_DIFFERENTIATION_NUM_IST_TE,MATCH(D5,PT_DIFFERENTIATION_IST_TE_ID,0))</f>
      </c>
      <c r="T5" s="532" t="s">
        <v>507</v>
      </c>
      <c r="U5" s="522"/>
      <c r="V5" s="2383"/>
      <c r="W5" s="2383"/>
      <c r="X5" s="2383"/>
      <c r="Y5" s="2383"/>
      <c r="Z5" s="2383"/>
      <c r="AA5" s="2384"/>
      <c r="AB5" s="2180"/>
      <c r="AC5" s="2383"/>
      <c r="AD5" s="2383"/>
      <c r="AE5" s="2383"/>
      <c r="AF5" s="2383"/>
      <c r="AG5" s="2383"/>
      <c r="AH5" s="2383"/>
      <c r="AI5" s="2383"/>
      <c r="AJ5" s="2384"/>
      <c r="AK5" s="1484" t="s">
        <v>508</v>
      </c>
      <c r="AM5" s="1851"/>
      <c r="AN5" s="1851" t="str">
        <f>IF(T5="","",T5)</f>
        <v>Источник тепловой энергии  </v>
      </c>
      <c r="AO5" s="1851"/>
      <c r="AP5" s="1851"/>
    </row>
    <row s="16674" customFormat="1" customHeight="1" ht="0">
      <c r="A6" s="1602"/>
      <c r="B6" s="1602"/>
      <c r="C6" s="1602"/>
      <c r="D6" s="1602"/>
      <c r="E6" s="2424"/>
      <c r="F6" s="2424"/>
      <c r="G6" s="2424"/>
      <c r="H6" s="2424"/>
      <c r="I6" s="2253">
        <f>S5&amp;".1"</f>
      </c>
      <c r="J6" s="1602"/>
      <c r="K6" s="1602"/>
      <c r="L6" s="1608" t="s">
        <v>509</v>
      </c>
      <c r="M6" s="1472"/>
      <c r="N6" s="1472"/>
      <c r="O6" s="1472"/>
      <c r="P6" s="2392">
        <v>1</v>
      </c>
      <c r="Q6" s="2182"/>
      <c r="R6" s="578"/>
      <c r="S6" s="1265"/>
      <c r="T6" s="1610"/>
      <c r="U6" s="1611"/>
      <c r="V6" s="2431"/>
      <c r="W6" s="2431"/>
      <c r="X6" s="2431"/>
      <c r="Y6" s="2431"/>
      <c r="Z6" s="2431"/>
      <c r="AA6" s="2432"/>
      <c r="AB6" s="2188"/>
      <c r="AC6" s="2431"/>
      <c r="AD6" s="2431"/>
      <c r="AE6" s="2431"/>
      <c r="AF6" s="2431"/>
      <c r="AG6" s="2431"/>
      <c r="AH6" s="2431"/>
      <c r="AI6" s="2431"/>
      <c r="AJ6" s="2432"/>
      <c r="AK6" s="1612"/>
      <c r="AM6" s="1851"/>
      <c r="AN6" s="1851" t="str">
        <f>IF(T6="","",T6)</f>
        <v/>
      </c>
      <c r="AO6" s="1851"/>
      <c r="AP6" s="1851"/>
    </row>
    <row s="16674" customFormat="1" customHeight="1" ht="0">
      <c r="A7" s="1602"/>
      <c r="B7" s="1602"/>
      <c r="C7" s="1602"/>
      <c r="D7" s="1602"/>
      <c r="E7" s="2424"/>
      <c r="F7" s="2424"/>
      <c r="G7" s="2424"/>
      <c r="H7" s="2424"/>
      <c r="I7" s="2237"/>
      <c r="J7" s="2253">
        <f>S5&amp;".1"</f>
      </c>
      <c r="K7" s="1602"/>
      <c r="L7" s="1608"/>
      <c r="M7" s="1472"/>
      <c r="N7" s="1472"/>
      <c r="O7" s="1472"/>
      <c r="P7" s="2392"/>
      <c r="Q7" s="2392">
        <v>1</v>
      </c>
      <c r="R7" s="579"/>
      <c r="S7" s="1265"/>
      <c r="T7" s="1626"/>
      <c r="U7" s="1611"/>
      <c r="V7" s="2431"/>
      <c r="W7" s="2431"/>
      <c r="X7" s="2431"/>
      <c r="Y7" s="2431"/>
      <c r="Z7" s="2431"/>
      <c r="AA7" s="2432"/>
      <c r="AB7" s="2188"/>
      <c r="AC7" s="2431"/>
      <c r="AD7" s="2431"/>
      <c r="AE7" s="2431"/>
      <c r="AF7" s="2431"/>
      <c r="AG7" s="2431"/>
      <c r="AH7" s="2431"/>
      <c r="AI7" s="2431"/>
      <c r="AJ7" s="2432"/>
      <c r="AK7" s="1612"/>
      <c r="AM7" s="1851"/>
      <c r="AN7" s="1851" t="str">
        <f>IF(T7="","",T7)</f>
        <v/>
      </c>
      <c r="AO7" s="1851"/>
      <c r="AP7" s="1851"/>
    </row>
    <row customHeight="1" ht="21">
      <c r="A8" s="1494"/>
      <c r="B8" s="1494"/>
      <c r="C8" s="1494"/>
      <c r="D8" s="1494"/>
      <c r="E8" s="2424"/>
      <c r="F8" s="2424"/>
      <c r="G8" s="2424"/>
      <c r="H8" s="2424"/>
      <c r="I8" s="2237"/>
      <c r="J8" s="2237"/>
      <c r="K8" s="2253">
        <f>S5&amp;".1"</f>
      </c>
      <c r="L8" s="1537"/>
      <c r="P8" s="2392"/>
      <c r="Q8" s="2392"/>
      <c r="R8" s="2468">
        <v>1</v>
      </c>
      <c r="S8" s="2465">
        <f>$K8</f>
      </c>
      <c r="T8" s="2462"/>
      <c r="U8" s="522"/>
      <c r="V8" s="973"/>
      <c r="W8" s="1483"/>
      <c r="X8" s="2393"/>
      <c r="Y8" s="2263" t="s">
        <v>63</v>
      </c>
      <c r="Z8" s="2393"/>
      <c r="AA8" s="2263" t="s">
        <v>63</v>
      </c>
      <c r="AB8" s="2170"/>
      <c r="AC8" s="2474"/>
      <c r="AD8" s="973"/>
      <c r="AE8" s="1483"/>
      <c r="AF8" s="2183"/>
      <c r="AG8" s="2170" t="s">
        <v>63</v>
      </c>
      <c r="AH8" s="2183"/>
      <c r="AI8" s="2170" t="s">
        <v>63</v>
      </c>
      <c r="AJ8" s="1575"/>
      <c r="AK8" s="2418" t="s">
        <v>567</v>
      </c>
      <c r="AL8" s="1863">
        <f>STRCHECKDATE(V11:AJ11)</f>
      </c>
      <c r="AM8" s="1851"/>
      <c r="AN8" s="1851" t="str">
        <f>IF(T8="","",T8)</f>
        <v/>
      </c>
      <c r="AO8" s="1851"/>
      <c r="AP8" s="1851"/>
    </row>
    <row customHeight="1" ht="11.25">
      <c r="A9" s="1494"/>
      <c r="B9" s="1494"/>
      <c r="C9" s="1494"/>
      <c r="D9" s="1494"/>
      <c r="E9" s="2424"/>
      <c r="F9" s="2424"/>
      <c r="G9" s="2424"/>
      <c r="H9" s="2424"/>
      <c r="I9" s="2237"/>
      <c r="J9" s="2237"/>
      <c r="K9" s="2253"/>
      <c r="L9" s="1537"/>
      <c r="P9" s="2392"/>
      <c r="Q9" s="2392"/>
      <c r="R9" s="2468"/>
      <c r="S9" s="2466"/>
      <c r="T9" s="2463"/>
      <c r="U9" s="522"/>
      <c r="V9" s="1620"/>
      <c r="W9" s="1624"/>
      <c r="X9" s="2393"/>
      <c r="Y9" s="2263"/>
      <c r="Z9" s="2393"/>
      <c r="AA9" s="2263"/>
      <c r="AB9" s="2170"/>
      <c r="AC9" s="2474"/>
      <c r="AD9" s="1620"/>
      <c r="AE9" s="1723"/>
      <c r="AF9" s="1620"/>
      <c r="AG9" s="1620"/>
      <c r="AH9" s="1620"/>
      <c r="AI9" s="1620"/>
      <c r="AJ9" s="1617"/>
      <c r="AK9" s="2419"/>
      <c r="AM9" s="1851"/>
      <c r="AN9" s="1851"/>
      <c r="AO9" s="1851"/>
      <c r="AP9" s="1851"/>
    </row>
    <row customHeight="1" ht="11.25">
      <c r="A10" s="1494"/>
      <c r="B10" s="1494"/>
      <c r="C10" s="1494"/>
      <c r="D10" s="1494"/>
      <c r="E10" s="2424"/>
      <c r="F10" s="2424"/>
      <c r="G10" s="2424"/>
      <c r="H10" s="2424"/>
      <c r="I10" s="2237"/>
      <c r="J10" s="2237"/>
      <c r="K10" s="2253"/>
      <c r="L10" s="1537"/>
      <c r="P10" s="2392"/>
      <c r="Q10" s="2392"/>
      <c r="R10" s="2468"/>
      <c r="S10" s="2466"/>
      <c r="T10" s="2463"/>
      <c r="U10" s="522"/>
      <c r="V10" s="1620"/>
      <c r="W10" s="1624"/>
      <c r="X10" s="2393"/>
      <c r="Y10" s="2263"/>
      <c r="Z10" s="2393"/>
      <c r="AA10" s="2263"/>
      <c r="AB10" s="2170"/>
      <c r="AC10" s="2474"/>
      <c r="AD10" s="1620"/>
      <c r="AE10" s="1723"/>
      <c r="AF10" s="1620"/>
      <c r="AG10" s="1620"/>
      <c r="AH10" s="1620"/>
      <c r="AI10" s="1620"/>
      <c r="AJ10" s="1617"/>
      <c r="AK10" s="2419"/>
      <c r="AM10" s="1851"/>
      <c r="AN10" s="1851"/>
      <c r="AO10" s="1851"/>
      <c r="AP10" s="1851"/>
    </row>
    <row customHeight="1" ht="11.25">
      <c r="A11" s="1494"/>
      <c r="B11" s="1494"/>
      <c r="C11" s="1494"/>
      <c r="D11" s="1494"/>
      <c r="E11" s="2424"/>
      <c r="F11" s="2424"/>
      <c r="G11" s="2424"/>
      <c r="H11" s="2424"/>
      <c r="I11" s="2237"/>
      <c r="J11" s="2237"/>
      <c r="K11" s="2253"/>
      <c r="L11" s="1537"/>
      <c r="P11" s="2392"/>
      <c r="Q11" s="2392"/>
      <c r="R11" s="2468"/>
      <c r="S11" s="2467"/>
      <c r="T11" s="2464"/>
      <c r="U11" s="522"/>
      <c r="V11" s="1620"/>
      <c r="W11" s="1623" t="str">
        <f>X8&amp;"-"&amp;Z8</f>
        <v>-</v>
      </c>
      <c r="X11" s="2394"/>
      <c r="Y11" s="2263"/>
      <c r="Z11" s="2394"/>
      <c r="AA11" s="2263"/>
      <c r="AB11" s="2199"/>
      <c r="AC11" s="1392" t="s">
        <v>570</v>
      </c>
      <c r="AD11" s="1620"/>
      <c r="AE11" s="1621" t="str">
        <f>AF8&amp;"-"&amp;AH8</f>
        <v>-</v>
      </c>
      <c r="AF11" s="1620"/>
      <c r="AG11" s="1620"/>
      <c r="AH11" s="1620"/>
      <c r="AI11" s="1620"/>
      <c r="AJ11" s="1576"/>
      <c r="AK11" s="2419"/>
      <c r="AM11" s="1851"/>
      <c r="AN11" s="1851" t="str">
        <f>IF(T11="","",T11)</f>
        <v/>
      </c>
      <c r="AO11" s="1851"/>
      <c r="AP11" s="1851"/>
    </row>
    <row customHeight="1" ht="11.25">
      <c r="A12" s="1494"/>
      <c r="B12" s="1494"/>
      <c r="C12" s="1494"/>
      <c r="D12" s="1494"/>
      <c r="E12" s="2424"/>
      <c r="F12" s="2424"/>
      <c r="G12" s="2424"/>
      <c r="H12" s="2424"/>
      <c r="I12" s="2237"/>
      <c r="J12" s="2253"/>
      <c r="K12" s="1494"/>
      <c r="L12" s="1537"/>
      <c r="P12" s="2392"/>
      <c r="Q12" s="2392"/>
      <c r="R12" s="578"/>
      <c r="S12" s="1505"/>
      <c r="T12" s="509" t="s">
        <v>571</v>
      </c>
      <c r="U12" s="822"/>
      <c r="V12" s="822"/>
      <c r="W12" s="822"/>
      <c r="X12" s="822"/>
      <c r="Y12" s="822"/>
      <c r="Z12" s="822"/>
      <c r="AA12" s="822"/>
      <c r="AB12" s="822"/>
      <c r="AC12" s="822"/>
      <c r="AD12" s="822"/>
      <c r="AE12" s="822"/>
      <c r="AF12" s="822"/>
      <c r="AG12" s="822"/>
      <c r="AH12" s="822"/>
      <c r="AI12" s="822"/>
      <c r="AJ12" s="546"/>
      <c r="AK12" s="2420"/>
      <c r="AM12" s="1851"/>
      <c r="AN12" s="1851" t="str">
        <f>IF(T12="","",T12)</f>
        <v>Добавить строку</v>
      </c>
      <c r="AO12" s="1851"/>
      <c r="AP12" s="1851"/>
    </row>
    <row s="16674" customFormat="1" customHeight="1" ht="0">
      <c r="A13" s="1602"/>
      <c r="B13" s="1602"/>
      <c r="C13" s="1602"/>
      <c r="D13" s="1602"/>
      <c r="E13" s="2424"/>
      <c r="F13" s="2424"/>
      <c r="G13" s="2424"/>
      <c r="H13" s="2424"/>
      <c r="I13" s="2253"/>
      <c r="J13" s="1602"/>
      <c r="K13" s="1602"/>
      <c r="L13" s="1608"/>
      <c r="M13" s="1472"/>
      <c r="N13" s="1472"/>
      <c r="O13" s="1472"/>
      <c r="P13" s="2392"/>
      <c r="Q13" s="2182"/>
      <c r="R13" s="578"/>
      <c r="S13" s="1613"/>
      <c r="T13" s="1614"/>
      <c r="U13" s="1615"/>
      <c r="V13" s="1615"/>
      <c r="W13" s="1615"/>
      <c r="X13" s="1615"/>
      <c r="Y13" s="1615"/>
      <c r="Z13" s="1615"/>
      <c r="AA13" s="1615"/>
      <c r="AB13" s="1615"/>
      <c r="AC13" s="1615"/>
      <c r="AD13" s="1615"/>
      <c r="AE13" s="1615"/>
      <c r="AF13" s="1615"/>
      <c r="AG13" s="1615"/>
      <c r="AH13" s="1615"/>
      <c r="AI13" s="1615"/>
      <c r="AJ13" s="1615"/>
      <c r="AK13" s="1616"/>
      <c r="AM13" s="1851"/>
      <c r="AN13" s="1851" t="str">
        <f>IF(T13="","",T13)</f>
        <v/>
      </c>
      <c r="AO13" s="1851"/>
      <c r="AP13" s="1851"/>
    </row>
    <row s="16674" customFormat="1" customHeight="1" ht="0">
      <c r="A14" s="1602"/>
      <c r="B14" s="1602"/>
      <c r="C14" s="1602"/>
      <c r="D14" s="1602"/>
      <c r="E14" s="2424"/>
      <c r="F14" s="2424"/>
      <c r="G14" s="2424"/>
      <c r="H14" s="2423"/>
      <c r="I14" s="1602"/>
      <c r="J14" s="1602"/>
      <c r="K14" s="1602"/>
      <c r="L14" s="1608"/>
      <c r="M14" s="1605"/>
      <c r="N14" s="1605"/>
      <c r="O14" s="573"/>
      <c r="P14" s="602"/>
      <c r="Q14" s="1571"/>
      <c r="R14" s="1628"/>
      <c r="S14" s="1613"/>
      <c r="T14" s="1614"/>
      <c r="U14" s="1615"/>
      <c r="V14" s="1615"/>
      <c r="W14" s="1615"/>
      <c r="X14" s="1615"/>
      <c r="Y14" s="1615"/>
      <c r="Z14" s="1615"/>
      <c r="AA14" s="1615"/>
      <c r="AB14" s="1615"/>
      <c r="AC14" s="1615"/>
      <c r="AD14" s="1615"/>
      <c r="AE14" s="1615"/>
      <c r="AF14" s="1615"/>
      <c r="AG14" s="1615"/>
      <c r="AH14" s="1615"/>
      <c r="AI14" s="1615"/>
      <c r="AJ14" s="1615"/>
      <c r="AK14" s="1616"/>
      <c r="AM14" s="1851"/>
      <c r="AN14" s="1851" t="str">
        <f>IF(T14="","",T14)</f>
        <v/>
      </c>
      <c r="AO14" s="1851"/>
      <c r="AP14" s="1851"/>
    </row>
    <row s="16654" customFormat="1" customHeight="1" ht="0">
      <c r="A15" s="1602"/>
      <c r="B15" s="1602"/>
      <c r="C15" s="1602"/>
      <c r="D15" s="1601"/>
      <c r="E15" s="2424"/>
      <c r="F15" s="2424"/>
      <c r="G15" s="2423"/>
      <c r="H15" s="1601"/>
      <c r="I15" s="1601"/>
      <c r="J15" s="1601"/>
      <c r="K15" s="1601"/>
      <c r="L15" s="1604"/>
      <c r="M15" s="1605"/>
      <c r="N15" s="1605"/>
      <c r="O15" s="573"/>
      <c r="P15" s="1543"/>
      <c r="Q15" s="1544"/>
      <c r="R15" s="1543"/>
      <c r="S15" s="1549"/>
      <c r="T15" s="1552" t="s">
        <v>520</v>
      </c>
      <c r="U15" s="1551"/>
      <c r="V15" s="1551"/>
      <c r="W15" s="1551"/>
      <c r="X15" s="1551"/>
      <c r="Y15" s="1551"/>
      <c r="Z15" s="1551"/>
      <c r="AA15" s="1551"/>
      <c r="AB15" s="1551"/>
      <c r="AC15" s="1551"/>
      <c r="AD15" s="1551"/>
      <c r="AE15" s="1551"/>
      <c r="AF15" s="1551"/>
      <c r="AG15" s="1551"/>
      <c r="AH15" s="1551"/>
      <c r="AI15" s="1551"/>
      <c r="AJ15" s="1551"/>
      <c r="AK15" s="1551"/>
      <c r="AM15" s="1477"/>
      <c r="AN15" s="1477" t="str">
        <f>IF(T15="","",T15)</f>
        <v>Добавить источник для дифференциации</v>
      </c>
      <c r="AO15" s="1477"/>
      <c r="AP15" s="1477"/>
    </row>
    <row s="16654" customFormat="1" customHeight="1" ht="0">
      <c r="A16" s="1602"/>
      <c r="B16" s="1602"/>
      <c r="C16" s="1601"/>
      <c r="D16" s="1601"/>
      <c r="E16" s="2424"/>
      <c r="F16" s="2423"/>
      <c r="G16" s="1601"/>
      <c r="H16" s="1601"/>
      <c r="I16" s="1601"/>
      <c r="J16" s="1601"/>
      <c r="K16" s="1601"/>
      <c r="L16" s="1604"/>
      <c r="M16" s="1606"/>
      <c r="N16" s="1606"/>
      <c r="O16" s="573"/>
      <c r="P16" s="1543"/>
      <c r="Q16" s="1544"/>
      <c r="R16" s="1543"/>
      <c r="S16" s="1549"/>
      <c r="T16" s="1552" t="s">
        <v>305</v>
      </c>
      <c r="U16" s="1551"/>
      <c r="V16" s="1551"/>
      <c r="W16" s="1551"/>
      <c r="X16" s="1551"/>
      <c r="Y16" s="1551"/>
      <c r="Z16" s="1551"/>
      <c r="AA16" s="1551"/>
      <c r="AB16" s="1551"/>
      <c r="AC16" s="1551"/>
      <c r="AD16" s="1551"/>
      <c r="AE16" s="1551"/>
      <c r="AF16" s="1551"/>
      <c r="AG16" s="1551"/>
      <c r="AH16" s="1551"/>
      <c r="AI16" s="1551"/>
      <c r="AJ16" s="1551"/>
      <c r="AK16" s="1551"/>
      <c r="AM16" s="1477"/>
      <c r="AN16" s="1477" t="str">
        <f>IF(T16="","",T16)</f>
        <v>Добавить централизованную систему для дифференциации</v>
      </c>
      <c r="AO16" s="1477"/>
      <c r="AP16" s="1477"/>
    </row>
    <row s="16674" customFormat="1" customHeight="1" ht="0">
      <c r="A17" s="1602"/>
      <c r="B17" s="1602"/>
      <c r="C17" s="1602"/>
      <c r="D17" s="1602"/>
      <c r="E17" s="2423"/>
      <c r="F17" s="1602"/>
      <c r="G17" s="1602"/>
      <c r="H17" s="1602"/>
      <c r="I17" s="1602"/>
      <c r="J17" s="1602"/>
      <c r="K17" s="1602"/>
      <c r="L17" s="1608"/>
      <c r="M17" s="1606"/>
      <c r="N17" s="1606"/>
      <c r="O17" s="573"/>
      <c r="P17" s="602"/>
      <c r="Q17" s="1571"/>
      <c r="R17" s="602"/>
      <c r="S17" s="1549"/>
      <c r="T17" s="1552" t="s">
        <v>358</v>
      </c>
      <c r="U17" s="1551"/>
      <c r="V17" s="1551"/>
      <c r="W17" s="1551"/>
      <c r="X17" s="1551"/>
      <c r="Y17" s="1551"/>
      <c r="Z17" s="1551"/>
      <c r="AA17" s="1551"/>
      <c r="AB17" s="1551"/>
      <c r="AC17" s="1551"/>
      <c r="AD17" s="1551"/>
      <c r="AE17" s="1551"/>
      <c r="AF17" s="1551"/>
      <c r="AG17" s="1551"/>
      <c r="AH17" s="1551"/>
      <c r="AI17" s="1551"/>
      <c r="AJ17" s="1551"/>
      <c r="AK17" s="1551"/>
      <c r="AM17" s="1851"/>
      <c r="AN17" s="1851" t="str">
        <f>IF(T17="","",T17)</f>
        <v>Добавить территорию для дифференциации</v>
      </c>
      <c r="AO17" s="1851"/>
      <c r="AP17" s="1851"/>
    </row>
    <row r="19" customHeight="1" ht="14.25">
      <c r="AC19" s="1729"/>
      <c r="AD19" s="1630"/>
      <c r="AE19" s="1631"/>
      <c r="AF19" s="1963"/>
      <c r="AG19" s="2194" t="s">
        <v>63</v>
      </c>
      <c r="AH19" s="1963"/>
      <c r="AI19" s="2194" t="s">
        <v>63</v>
      </c>
    </row>
    <row customHeight="1" ht="14.25">
      <c r="AL20" s="1868"/>
      <c r="AM20" s="1868"/>
      <c r="AN20" s="1868"/>
      <c r="AO20" s="1868"/>
      <c r="AP20" s="1868"/>
    </row>
    <row customHeight="1" ht="14.25">
      <c r="O21" s="1572" t="s">
        <v>521</v>
      </c>
      <c r="X21" s="1572"/>
      <c r="Z21" s="1572"/>
      <c r="AF21" s="1572"/>
      <c r="AH21" s="1572"/>
      <c r="AL21" s="1868"/>
      <c r="AM21" s="1868"/>
      <c r="AN21" s="1868"/>
      <c r="AO21" s="1868"/>
      <c r="AP21" s="1868"/>
    </row>
    <row customHeight="1" ht="14.25">
      <c r="AL22" s="1868"/>
      <c r="AM22" s="1868"/>
      <c r="AN22" s="1868"/>
      <c r="AO22" s="1868"/>
      <c r="AP22" s="1868"/>
    </row>
    <row s="16777" customFormat="1" customHeight="1" ht="14.25">
      <c r="A23" s="2200"/>
      <c r="B23" s="2200"/>
      <c r="C23" s="2200"/>
      <c r="D23" s="2200"/>
      <c r="E23" s="2200"/>
      <c r="F23" s="2200"/>
      <c r="G23" s="2200"/>
      <c r="H23" s="2200"/>
      <c r="I23" s="2200"/>
      <c r="J23" s="2200"/>
      <c r="K23" s="2200"/>
      <c r="L23" s="2200"/>
      <c r="M23" s="2201"/>
      <c r="N23" s="2201"/>
      <c r="O23" s="2202" t="s">
        <v>522</v>
      </c>
      <c r="P23" s="1735"/>
      <c r="Q23" s="1737"/>
      <c r="R23" s="1737"/>
      <c r="Y23" s="1734" t="s">
        <v>524</v>
      </c>
      <c r="AA23" s="1734" t="s">
        <v>525</v>
      </c>
      <c r="AC23" s="1734" t="s">
        <v>573</v>
      </c>
      <c r="AG23" s="1734" t="s">
        <v>524</v>
      </c>
      <c r="AI23" s="1734" t="s">
        <v>525</v>
      </c>
      <c r="AL23" s="1738"/>
      <c r="AM23" s="1738"/>
      <c r="AN23" s="1738"/>
      <c r="AO23" s="1738"/>
      <c r="AP23" s="1738"/>
    </row>
    <row customHeight="1" ht="14.25">
      <c r="O24" s="1537"/>
      <c r="AL24" s="1868"/>
      <c r="AM24" s="1868"/>
      <c r="AN24" s="1868"/>
      <c r="AO24" s="1868"/>
      <c r="AP24" s="1868"/>
    </row>
    <row customHeight="1" ht="14.25">
      <c r="O25" s="1537"/>
      <c r="AL25" s="1868"/>
      <c r="AM25" s="1868"/>
      <c r="AN25" s="1868"/>
      <c r="AO25" s="1868"/>
      <c r="AP25" s="1868"/>
    </row>
    <row customHeight="1" ht="14.25">
      <c r="Q26" s="513"/>
      <c r="R26" s="598"/>
      <c r="S26" s="1502"/>
      <c r="T26" s="679"/>
      <c r="U26" s="679"/>
      <c r="V26" s="1862"/>
      <c r="W26" s="1862"/>
      <c r="X26" s="1862"/>
      <c r="Y26" s="1862"/>
      <c r="Z26" s="1862"/>
      <c r="AA26" s="1862"/>
      <c r="AB26" s="1862"/>
      <c r="AC26" s="1862"/>
      <c r="AD26" s="1862"/>
      <c r="AE26" s="1862"/>
      <c r="AF26" s="1862"/>
      <c r="AG26" s="1862"/>
      <c r="AH26" s="1862"/>
      <c r="AI26" s="1862"/>
    </row>
    <row customHeight="1" ht="38.25">
      <c r="Q27" s="513"/>
      <c r="R27" s="598"/>
      <c r="S27" s="242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21"/>
      <c r="U27" s="2421"/>
      <c r="V27" s="2421"/>
      <c r="W27" s="2421"/>
      <c r="X27" s="2421"/>
      <c r="Y27" s="2421"/>
      <c r="Z27" s="2421"/>
      <c r="AA27" s="2421"/>
      <c r="AB27" s="2421"/>
      <c r="AC27" s="2421"/>
      <c r="AD27" s="2421"/>
      <c r="AE27" s="2421"/>
      <c r="AF27" s="2421"/>
      <c r="AG27" s="2421"/>
      <c r="AH27" s="2421"/>
      <c r="AI27" s="1469"/>
    </row>
    <row customHeight="1" ht="14.25">
      <c r="Q28" s="513"/>
      <c r="R28" s="598"/>
      <c r="S28" s="2422" t="str">
        <f>IF(org=0,"Не определено",org)</f>
        <v>КГУП "Примтеплоэнерго"</v>
      </c>
      <c r="T28" s="2422"/>
      <c r="U28" s="2422"/>
      <c r="V28" s="2422"/>
      <c r="W28" s="2422"/>
      <c r="X28" s="2422"/>
      <c r="Y28" s="2422"/>
      <c r="Z28" s="2422"/>
      <c r="AA28" s="2422"/>
      <c r="AB28" s="2422"/>
      <c r="AC28" s="2422"/>
      <c r="AD28" s="2422"/>
      <c r="AE28" s="2422"/>
      <c r="AF28" s="2422"/>
      <c r="AG28" s="2422"/>
      <c r="AH28" s="2422"/>
      <c r="AI28" s="1469"/>
    </row>
    <row customHeight="1" ht="14.25" hidden="1">
      <c r="Q29" s="513"/>
      <c r="R29" s="598"/>
      <c r="S29" s="1502"/>
      <c r="T29" s="679"/>
      <c r="U29" s="679"/>
      <c r="V29" s="544"/>
      <c r="W29" s="544"/>
      <c r="X29" s="544"/>
      <c r="Y29" s="544"/>
      <c r="Z29" s="544"/>
      <c r="AA29" s="544"/>
      <c r="AB29" s="544"/>
      <c r="AC29" s="544"/>
      <c r="AD29" s="544"/>
      <c r="AE29" s="544"/>
      <c r="AF29" s="544"/>
      <c r="AG29" s="544"/>
      <c r="AH29" s="544"/>
      <c r="AI29" s="544"/>
      <c r="AJ29" s="1862"/>
    </row>
    <row s="16563" customFormat="1" customHeight="1" ht="25.5" hidden="1">
      <c r="A30" s="1474"/>
      <c r="B30" s="1474"/>
      <c r="C30" s="1474"/>
      <c r="D30" s="1474"/>
      <c r="E30" s="1474"/>
      <c r="F30" s="1474"/>
      <c r="G30" s="1474"/>
      <c r="H30" s="1474"/>
      <c r="I30" s="1474"/>
      <c r="J30" s="1474"/>
      <c r="K30" s="1474"/>
      <c r="L30" s="1607"/>
      <c r="M30" s="1474"/>
      <c r="N30" s="1474"/>
      <c r="O30" s="1474"/>
      <c r="P30" s="1595"/>
      <c r="Q30" s="1595"/>
      <c r="S30" s="2379" t="s">
        <v>38</v>
      </c>
      <c r="T30" s="2379"/>
      <c r="U30" s="1599"/>
      <c r="V30" s="2381" t="str">
        <f>IF(TITLE_NAME_OR_PR_CHANGE="",IF(TITLE_NAME_OR_PR="","",TITLE_NAME_OR_PR),TITLE_NAME_OR_PR_CHANGE)</f>
        <v/>
      </c>
      <c r="W30" s="2381"/>
      <c r="X30" s="2381"/>
      <c r="Y30" s="2381"/>
      <c r="Z30" s="2381"/>
      <c r="AA30" s="1862"/>
      <c r="AB30" s="1862"/>
      <c r="AC30" s="2381"/>
      <c r="AD30" s="2381"/>
      <c r="AE30" s="2381"/>
      <c r="AF30" s="2381"/>
      <c r="AG30" s="2381"/>
      <c r="AH30" s="2381"/>
      <c r="AI30" s="1862"/>
      <c r="AJ30" s="1862"/>
      <c r="AK30" s="502"/>
      <c r="AL30" s="590"/>
      <c r="AM30" s="590"/>
      <c r="AN30" s="590"/>
      <c r="AO30" s="590"/>
      <c r="AP30" s="590"/>
    </row>
    <row s="16563" customFormat="1" customHeight="1" ht="18.75" hidden="1">
      <c r="A31" s="1474"/>
      <c r="B31" s="1474"/>
      <c r="C31" s="1474"/>
      <c r="D31" s="1474"/>
      <c r="E31" s="1474"/>
      <c r="F31" s="1474"/>
      <c r="G31" s="1474"/>
      <c r="H31" s="1474"/>
      <c r="I31" s="1474"/>
      <c r="J31" s="1474"/>
      <c r="K31" s="1474"/>
      <c r="L31" s="1607"/>
      <c r="M31" s="1474"/>
      <c r="N31" s="1474"/>
      <c r="O31" s="1474"/>
      <c r="P31" s="1595"/>
      <c r="Q31" s="1595"/>
      <c r="S31" s="2379" t="s">
        <v>527</v>
      </c>
      <c r="T31" s="2379"/>
      <c r="U31" s="1599"/>
      <c r="V31" s="2380" t="str">
        <f>IF(TITLE_DATE_PR_CHANGE="",IF(TITLE_DATE_PR="","",TITLE_DATE_PR),TITLE_DATE_PR_CHANGE)</f>
        <v>45407.47206018519</v>
      </c>
      <c r="W31" s="2380"/>
      <c r="X31" s="2380"/>
      <c r="Y31" s="2380"/>
      <c r="Z31" s="2380"/>
      <c r="AA31" s="1862"/>
      <c r="AB31" s="1862"/>
      <c r="AC31" s="2380"/>
      <c r="AD31" s="2380"/>
      <c r="AE31" s="2380"/>
      <c r="AF31" s="2380"/>
      <c r="AG31" s="2380"/>
      <c r="AH31" s="2380"/>
      <c r="AI31" s="1862"/>
      <c r="AJ31" s="1862"/>
      <c r="AK31" s="502"/>
      <c r="AL31" s="590"/>
      <c r="AM31" s="590"/>
      <c r="AN31" s="590"/>
      <c r="AO31" s="590"/>
      <c r="AP31" s="590"/>
    </row>
    <row s="16563" customFormat="1" customHeight="1" ht="18.75" hidden="1">
      <c r="A32" s="1474"/>
      <c r="B32" s="1474"/>
      <c r="C32" s="1474"/>
      <c r="D32" s="1474"/>
      <c r="E32" s="1474"/>
      <c r="F32" s="1474"/>
      <c r="G32" s="1474"/>
      <c r="H32" s="1474"/>
      <c r="I32" s="1474"/>
      <c r="J32" s="1474"/>
      <c r="K32" s="1474"/>
      <c r="L32" s="1607"/>
      <c r="M32" s="1474"/>
      <c r="N32" s="1474"/>
      <c r="O32" s="1474"/>
      <c r="P32" s="1595"/>
      <c r="Q32" s="1595"/>
      <c r="S32" s="2379" t="s">
        <v>528</v>
      </c>
      <c r="T32" s="2379"/>
      <c r="U32" s="1599"/>
      <c r="V32" s="2381" t="str">
        <f>IF(TITLE_NUMBER_PR_CHANGE="",IF(TITLE_NUMBER_PR="","",TITLE_NUMBER_PR),TITLE_NUMBER_PR_CHANGE)</f>
        <v>27-2067</v>
      </c>
      <c r="W32" s="2381"/>
      <c r="X32" s="2381"/>
      <c r="Y32" s="2381"/>
      <c r="Z32" s="2381"/>
      <c r="AA32" s="1862"/>
      <c r="AB32" s="1862"/>
      <c r="AC32" s="2381"/>
      <c r="AD32" s="2381"/>
      <c r="AE32" s="2381"/>
      <c r="AF32" s="2381"/>
      <c r="AG32" s="2381"/>
      <c r="AH32" s="2381"/>
      <c r="AI32" s="1862"/>
      <c r="AJ32" s="1862"/>
      <c r="AK32" s="502"/>
      <c r="AL32" s="590"/>
      <c r="AM32" s="590"/>
      <c r="AN32" s="590"/>
      <c r="AO32" s="590"/>
      <c r="AP32" s="590"/>
    </row>
    <row s="16563" customFormat="1" customHeight="1" ht="18.75" hidden="1">
      <c r="A33" s="1474"/>
      <c r="B33" s="1474"/>
      <c r="C33" s="1474"/>
      <c r="D33" s="1474"/>
      <c r="E33" s="1474"/>
      <c r="F33" s="1474"/>
      <c r="G33" s="1474"/>
      <c r="H33" s="1474"/>
      <c r="I33" s="1474"/>
      <c r="J33" s="1474"/>
      <c r="K33" s="1474"/>
      <c r="L33" s="1607"/>
      <c r="M33" s="1474"/>
      <c r="N33" s="1474"/>
      <c r="O33" s="1474"/>
      <c r="P33" s="1595"/>
      <c r="Q33" s="1595"/>
      <c r="S33" s="2379" t="s">
        <v>39</v>
      </c>
      <c r="T33" s="2379"/>
      <c r="U33" s="1599"/>
      <c r="V33" s="2381" t="str">
        <f>IF(TITLE_IST_PUB_CHANGE="",IF(TITLE_IST_PUB="","",TITLE_IST_PUB),TITLE_IST_PUB_CHANGE)</f>
        <v/>
      </c>
      <c r="W33" s="2381"/>
      <c r="X33" s="2381"/>
      <c r="Y33" s="2381"/>
      <c r="Z33" s="2381"/>
      <c r="AA33" s="1862"/>
      <c r="AB33" s="1862"/>
      <c r="AC33" s="2381"/>
      <c r="AD33" s="2381"/>
      <c r="AE33" s="2381"/>
      <c r="AF33" s="2381"/>
      <c r="AG33" s="2381"/>
      <c r="AH33" s="2381"/>
      <c r="AI33" s="1862"/>
      <c r="AJ33" s="1862"/>
      <c r="AK33" s="502"/>
      <c r="AL33" s="590"/>
      <c r="AM33" s="590"/>
      <c r="AN33" s="590"/>
      <c r="AO33" s="590"/>
      <c r="AP33" s="590"/>
    </row>
    <row customHeight="1" ht="14.25" hidden="1">
      <c r="Q34" s="513"/>
      <c r="R34" s="598"/>
      <c r="S34" s="1502"/>
      <c r="T34" s="679"/>
      <c r="U34" s="679"/>
      <c r="V34" s="544"/>
      <c r="W34" s="544"/>
      <c r="X34" s="544"/>
      <c r="Y34" s="544"/>
      <c r="Z34" s="544"/>
      <c r="AA34" s="544"/>
      <c r="AB34" s="544"/>
      <c r="AC34" s="544"/>
      <c r="AD34" s="544"/>
      <c r="AE34" s="544"/>
      <c r="AF34" s="544"/>
      <c r="AG34" s="544"/>
      <c r="AH34" s="544"/>
      <c r="AI34" s="544"/>
      <c r="AJ34" s="1862"/>
    </row>
    <row s="16563" customFormat="1" customHeight="1" ht="18.75" hidden="1">
      <c r="A35" s="1474"/>
      <c r="B35" s="1474"/>
      <c r="C35" s="1474"/>
      <c r="D35" s="1474"/>
      <c r="E35" s="1474"/>
      <c r="F35" s="1474"/>
      <c r="G35" s="1474"/>
      <c r="H35" s="1474"/>
      <c r="I35" s="1474"/>
      <c r="J35" s="1474"/>
      <c r="K35" s="1474"/>
      <c r="L35" s="1607"/>
      <c r="M35" s="1474"/>
      <c r="N35" s="1474"/>
      <c r="O35" s="1474"/>
      <c r="P35" s="1595"/>
      <c r="Q35" s="1595"/>
      <c r="S35" s="2379" t="s">
        <v>527</v>
      </c>
      <c r="T35" s="2379"/>
      <c r="U35" s="1599"/>
      <c r="V35" s="2380" t="str">
        <f>IF(TITLE_DATE_PR_CHANGE="",IF(TITLE_DATE_PR="","",TITLE_DATE_PR),TITLE_DATE_PR_CHANGE)</f>
        <v>45407.47206018519</v>
      </c>
      <c r="W35" s="2380"/>
      <c r="X35" s="2380"/>
      <c r="Y35" s="2380"/>
      <c r="Z35" s="2380"/>
      <c r="AA35" s="1862"/>
      <c r="AB35" s="1862"/>
      <c r="AC35" s="2380"/>
      <c r="AD35" s="2380"/>
      <c r="AE35" s="2380"/>
      <c r="AF35" s="2380"/>
      <c r="AG35" s="2380"/>
      <c r="AH35" s="2380"/>
      <c r="AI35" s="1862"/>
      <c r="AJ35" s="1862"/>
      <c r="AK35" s="502"/>
      <c r="AL35" s="590"/>
      <c r="AM35" s="590"/>
      <c r="AN35" s="590"/>
      <c r="AO35" s="590"/>
      <c r="AP35" s="590"/>
    </row>
    <row s="16563" customFormat="1" customHeight="1" ht="18" hidden="1">
      <c r="A36" s="1474"/>
      <c r="B36" s="1474"/>
      <c r="C36" s="1474"/>
      <c r="D36" s="1474"/>
      <c r="E36" s="1474"/>
      <c r="F36" s="1474"/>
      <c r="G36" s="1474"/>
      <c r="H36" s="1474"/>
      <c r="I36" s="1474"/>
      <c r="J36" s="1474"/>
      <c r="K36" s="1474"/>
      <c r="L36" s="1607"/>
      <c r="M36" s="1474"/>
      <c r="N36" s="1474"/>
      <c r="O36" s="1474"/>
      <c r="P36" s="1595"/>
      <c r="Q36" s="1595"/>
      <c r="S36" s="2379" t="s">
        <v>528</v>
      </c>
      <c r="T36" s="2379"/>
      <c r="U36" s="1599"/>
      <c r="V36" s="2381" t="str">
        <f>IF(TITLE_NUMBER_PR_CHANGE="",IF(TITLE_NUMBER_PR="","",TITLE_NUMBER_PR),TITLE_NUMBER_PR_CHANGE)</f>
        <v>27-2067</v>
      </c>
      <c r="W36" s="2381"/>
      <c r="X36" s="2381"/>
      <c r="Y36" s="2381"/>
      <c r="Z36" s="2381"/>
      <c r="AA36" s="1862"/>
      <c r="AB36" s="1862"/>
      <c r="AC36" s="2381"/>
      <c r="AD36" s="2381"/>
      <c r="AE36" s="2381"/>
      <c r="AF36" s="2381"/>
      <c r="AG36" s="2381"/>
      <c r="AH36" s="2381"/>
      <c r="AI36" s="1862"/>
      <c r="AJ36" s="1862"/>
      <c r="AK36" s="502"/>
      <c r="AL36" s="590"/>
      <c r="AM36" s="590"/>
      <c r="AN36" s="590"/>
      <c r="AO36" s="590"/>
      <c r="AP36" s="590"/>
    </row>
    <row s="16563" customFormat="1" customHeight="1" ht="0.75">
      <c r="A37" s="1474"/>
      <c r="B37" s="1474"/>
      <c r="C37" s="1474"/>
      <c r="D37" s="1474"/>
      <c r="E37" s="1474"/>
      <c r="F37" s="1474"/>
      <c r="G37" s="1474"/>
      <c r="H37" s="1474"/>
      <c r="I37" s="1474"/>
      <c r="J37" s="1474"/>
      <c r="K37" s="1474"/>
      <c r="L37" s="1607"/>
      <c r="M37" s="1474"/>
      <c r="N37" s="1474"/>
      <c r="O37" s="1474"/>
      <c r="P37" s="1595"/>
      <c r="Q37" s="1595"/>
      <c r="S37" s="1862"/>
      <c r="T37" s="1862"/>
      <c r="U37" s="2198"/>
      <c r="V37" s="1862"/>
      <c r="W37" s="1862"/>
      <c r="X37" s="1862"/>
      <c r="Y37" s="1862"/>
      <c r="Z37" s="1862"/>
      <c r="AA37" s="1869" t="s">
        <v>531</v>
      </c>
      <c r="AB37" s="1869"/>
      <c r="AC37" s="1862"/>
      <c r="AD37" s="1862"/>
      <c r="AE37" s="1862"/>
      <c r="AF37" s="1862"/>
      <c r="AG37" s="1862"/>
      <c r="AH37" s="1862"/>
      <c r="AI37" s="1869" t="s">
        <v>531</v>
      </c>
      <c r="AL37" s="590"/>
      <c r="AM37" s="590"/>
      <c r="AN37" s="590"/>
      <c r="AO37" s="590"/>
      <c r="AP37" s="590"/>
    </row>
    <row customHeight="1" ht="14.25">
      <c r="Q38" s="513"/>
      <c r="R38" s="598"/>
      <c r="S38" s="1502"/>
      <c r="T38" s="679"/>
      <c r="U38" s="1470"/>
      <c r="V38" s="2405"/>
      <c r="W38" s="2405"/>
      <c r="X38" s="2405"/>
      <c r="Y38" s="2405"/>
      <c r="Z38" s="2405"/>
      <c r="AA38" s="2405"/>
      <c r="AB38" s="2185"/>
      <c r="AC38" s="2405"/>
      <c r="AD38" s="2405"/>
      <c r="AE38" s="2405"/>
      <c r="AF38" s="2405"/>
      <c r="AG38" s="2405"/>
      <c r="AH38" s="2405"/>
      <c r="AI38" s="2405"/>
    </row>
    <row customHeight="1" ht="14.25">
      <c r="Q39" s="513"/>
      <c r="R39" s="598"/>
      <c r="S39" s="2253" t="s">
        <v>406</v>
      </c>
      <c r="T39" s="2253"/>
      <c r="U39" s="2253"/>
      <c r="V39" s="2253"/>
      <c r="W39" s="2253"/>
      <c r="X39" s="2253"/>
      <c r="Y39" s="2253"/>
      <c r="Z39" s="2253"/>
      <c r="AA39" s="2310"/>
      <c r="AB39" s="2310"/>
      <c r="AC39" s="2310"/>
      <c r="AD39" s="2253"/>
      <c r="AE39" s="2253"/>
      <c r="AF39" s="2253"/>
      <c r="AG39" s="2253"/>
      <c r="AH39" s="2253"/>
      <c r="AI39" s="2253"/>
      <c r="AJ39" s="2253"/>
      <c r="AK39" s="2253" t="s">
        <v>407</v>
      </c>
    </row>
    <row customHeight="1" ht="14.25">
      <c r="Q40" s="513"/>
      <c r="R40" s="598"/>
      <c r="S40" s="2406" t="s">
        <v>84</v>
      </c>
      <c r="T40" s="2343" t="s">
        <v>603</v>
      </c>
      <c r="U40" s="559"/>
      <c r="V40" s="2408"/>
      <c r="W40" s="2408"/>
      <c r="X40" s="2408"/>
      <c r="Y40" s="2408"/>
      <c r="Z40" s="2408"/>
      <c r="AA40" s="2343" t="s">
        <v>534</v>
      </c>
      <c r="AB40" s="2342" t="s">
        <v>604</v>
      </c>
      <c r="AC40" s="2342" t="s">
        <v>577</v>
      </c>
      <c r="AD40" s="2429" t="s">
        <v>533</v>
      </c>
      <c r="AE40" s="2429"/>
      <c r="AF40" s="2408"/>
      <c r="AG40" s="2408"/>
      <c r="AH40" s="2409"/>
      <c r="AI40" s="2410" t="s">
        <v>534</v>
      </c>
      <c r="AJ40" s="2413" t="s">
        <v>536</v>
      </c>
      <c r="AK40" s="2253"/>
    </row>
    <row customHeight="1" ht="33.75">
      <c r="Q41" s="513"/>
      <c r="R41" s="598"/>
      <c r="S41" s="2406"/>
      <c r="T41" s="2343"/>
      <c r="U41" s="1254"/>
      <c r="V41" s="2311" t="s">
        <v>580</v>
      </c>
      <c r="W41" s="2312"/>
      <c r="X41" s="2427" t="s">
        <v>540</v>
      </c>
      <c r="Y41" s="2445"/>
      <c r="Z41" s="2445"/>
      <c r="AA41" s="2343"/>
      <c r="AB41" s="2342"/>
      <c r="AC41" s="2342"/>
      <c r="AD41" s="2239" t="s">
        <v>581</v>
      </c>
      <c r="AE41" s="2253"/>
      <c r="AF41" s="2445" t="s">
        <v>540</v>
      </c>
      <c r="AG41" s="2445"/>
      <c r="AH41" s="2446"/>
      <c r="AI41" s="2411"/>
      <c r="AJ41" s="2414"/>
      <c r="AK41" s="2253"/>
    </row>
    <row customHeight="1" ht="14.25">
      <c r="Q42" s="513"/>
      <c r="R42" s="598"/>
      <c r="S42" s="2406"/>
      <c r="T42" s="2343"/>
      <c r="U42" s="1254"/>
      <c r="V42" s="2319"/>
      <c r="W42" s="2320"/>
      <c r="X42" s="2428"/>
      <c r="Y42" s="2447"/>
      <c r="Z42" s="2447"/>
      <c r="AA42" s="2343"/>
      <c r="AB42" s="2342"/>
      <c r="AC42" s="2342"/>
      <c r="AD42" s="2482"/>
      <c r="AE42" s="2473"/>
      <c r="AF42" s="2447"/>
      <c r="AG42" s="2447"/>
      <c r="AH42" s="2448"/>
      <c r="AI42" s="2411"/>
      <c r="AJ42" s="2414"/>
      <c r="AK42" s="2253"/>
    </row>
    <row customHeight="1" ht="14.25">
      <c r="A43" s="1493"/>
      <c r="B43" s="1493" t="s">
        <v>191</v>
      </c>
      <c r="C43" s="1493" t="s">
        <v>192</v>
      </c>
      <c r="D43" s="1493" t="s">
        <v>193</v>
      </c>
      <c r="E43" s="1537" t="s">
        <v>541</v>
      </c>
      <c r="F43" s="1537" t="s">
        <v>542</v>
      </c>
      <c r="G43" s="1537" t="s">
        <v>543</v>
      </c>
      <c r="H43" s="1537" t="s">
        <v>544</v>
      </c>
      <c r="I43" s="1537" t="s">
        <v>545</v>
      </c>
      <c r="J43" s="1537" t="s">
        <v>546</v>
      </c>
      <c r="K43" s="1537" t="s">
        <v>547</v>
      </c>
      <c r="L43" s="1537" t="s">
        <v>522</v>
      </c>
      <c r="Q43" s="513"/>
      <c r="R43" s="598"/>
      <c r="S43" s="2406"/>
      <c r="T43" s="2343"/>
      <c r="U43" s="524"/>
      <c r="V43" s="2178" t="s">
        <v>582</v>
      </c>
      <c r="W43" s="2178" t="s">
        <v>583</v>
      </c>
      <c r="X43" s="2166" t="s">
        <v>550</v>
      </c>
      <c r="Y43" s="2402" t="s">
        <v>551</v>
      </c>
      <c r="Z43" s="2440"/>
      <c r="AA43" s="2343"/>
      <c r="AB43" s="2342"/>
      <c r="AC43" s="2342"/>
      <c r="AD43" s="2196" t="s">
        <v>582</v>
      </c>
      <c r="AE43" s="2187" t="s">
        <v>583</v>
      </c>
      <c r="AF43" s="2166" t="s">
        <v>550</v>
      </c>
      <c r="AG43" s="2402" t="s">
        <v>551</v>
      </c>
      <c r="AH43" s="2403"/>
      <c r="AI43" s="2412"/>
      <c r="AJ43" s="2415"/>
      <c r="AK43" s="2253"/>
    </row>
    <row s="16671" customFormat="1" customHeight="1" ht="11.25" hidden="1">
      <c r="A44" s="1493"/>
      <c r="B44" s="1493"/>
      <c r="C44" s="1493"/>
      <c r="D44" s="1493"/>
      <c r="E44" s="1493"/>
      <c r="F44" s="1493"/>
      <c r="G44" s="1493"/>
      <c r="H44" s="1493"/>
      <c r="I44" s="1493"/>
      <c r="J44" s="1493"/>
      <c r="K44" s="1493"/>
      <c r="L44" s="1537"/>
      <c r="M44" s="2193"/>
      <c r="N44" s="2193"/>
      <c r="O44" s="2193"/>
      <c r="P44" s="732"/>
      <c r="Q44" s="1480"/>
      <c r="R44" s="1480">
        <v>1</v>
      </c>
      <c r="S44" s="1504" t="s">
        <v>168</v>
      </c>
      <c r="T44" s="1481" t="s">
        <v>99</v>
      </c>
      <c r="U44" s="1471" t="str">
        <f>OFFSET(U44,0,-1)</f>
        <v>2</v>
      </c>
      <c r="V44" s="2184">
        <f>OFFSET(V44,0,-1)+1</f>
        <v>3</v>
      </c>
      <c r="W44" s="2184">
        <f>OFFSET(W44,0,-1)+1</f>
        <v>4</v>
      </c>
      <c r="X44" s="2184">
        <f>OFFSET(X44,0,-1)+1</f>
        <v>5</v>
      </c>
      <c r="Y44" s="2404">
        <f>OFFSET(Y44,0,-1)+1</f>
        <v>6</v>
      </c>
      <c r="Z44" s="2404"/>
      <c r="AA44" s="1568">
        <f>OFFSET(AA44,0,-2)+1</f>
        <v>7</v>
      </c>
      <c r="AB44" s="1568"/>
      <c r="AC44" s="1568"/>
      <c r="AD44" s="2184">
        <f>OFFSET(AD44,0,-1)+1</f>
        <v>1</v>
      </c>
      <c r="AE44" s="2184">
        <f>OFFSET(AE44,0,-1)+1</f>
        <v>2</v>
      </c>
      <c r="AF44" s="2184">
        <f>OFFSET(AF44,0,-1)+1</f>
        <v>3</v>
      </c>
      <c r="AG44" s="2404">
        <f>OFFSET(AG44,0,-1)+1</f>
        <v>4</v>
      </c>
      <c r="AH44" s="2404"/>
      <c r="AI44" s="2184">
        <f>OFFSET(AI44,0,-2)+1</f>
        <v>5</v>
      </c>
      <c r="AJ44" s="1471">
        <f>OFFSET(AJ44,0,-1)</f>
        <v>5</v>
      </c>
      <c r="AK44" s="2184">
        <f>OFFSET(AK44,0,-1)+1</f>
        <v>6</v>
      </c>
      <c r="AL44" s="1863"/>
      <c r="AM44" s="1863"/>
      <c r="AN44" s="1863"/>
      <c r="AO44" s="1863"/>
      <c r="AP44" s="1863"/>
    </row>
    <row customHeight="1" ht="102">
      <c r="A45" s="1494" t="s">
        <v>254</v>
      </c>
      <c r="B45" s="1494"/>
      <c r="C45" s="1494"/>
      <c r="D45" s="1494"/>
      <c r="E45" s="2423">
        <v>1</v>
      </c>
      <c r="F45" s="1494"/>
      <c r="G45" s="1494"/>
      <c r="H45" s="1494"/>
      <c r="I45" s="1494"/>
      <c r="J45" s="1494"/>
      <c r="K45" s="1494"/>
      <c r="L45" s="1537"/>
      <c r="M45" s="1837"/>
      <c r="N45" s="1837"/>
      <c r="O45" s="1837"/>
      <c r="P45" s="1636"/>
      <c r="Q45" s="1095"/>
      <c r="R45" s="577"/>
      <c r="S45" s="2186">
        <f>INDEX(PT_DIFFERENTIATION_NUM_NTAR,MATCH(A45,PT_DIFFERENTIATION_NTAR_ID,0))</f>
        <v>0</v>
      </c>
      <c r="T45" s="1752" t="s">
        <v>179</v>
      </c>
      <c r="U45" s="522"/>
      <c r="V45" s="2383"/>
      <c r="W45" s="2383"/>
      <c r="X45" s="2383"/>
      <c r="Y45" s="2383"/>
      <c r="Z45" s="2383"/>
      <c r="AA45" s="2384"/>
      <c r="AB45" s="2180"/>
      <c r="AC45" s="2383"/>
      <c r="AD45" s="2383"/>
      <c r="AE45" s="2383"/>
      <c r="AF45" s="2383"/>
      <c r="AG45" s="2383"/>
      <c r="AH45" s="2383"/>
      <c r="AI45" s="2383"/>
      <c r="AJ45" s="2384"/>
      <c r="AK45" s="14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851"/>
      <c r="AN45" s="1851" t="str">
        <f>IF(T45="","",T45)</f>
        <v>Наименование тарифа</v>
      </c>
      <c r="AO45" s="1851"/>
      <c r="AP45" s="1851"/>
    </row>
    <row customHeight="1" ht="21">
      <c r="A46" s="1494" t="s">
        <v>254</v>
      </c>
      <c r="B46" s="1494" t="s">
        <v>255</v>
      </c>
      <c r="C46" s="1494"/>
      <c r="D46" s="1494"/>
      <c r="E46" s="2424"/>
      <c r="F46" s="2423">
        <v>1</v>
      </c>
      <c r="G46" s="1494"/>
      <c r="H46" s="1494"/>
      <c r="I46" s="1494"/>
      <c r="J46" s="1494"/>
      <c r="K46" s="1494"/>
      <c r="L46" s="1537"/>
      <c r="M46" s="1837"/>
      <c r="N46" s="1837"/>
      <c r="O46" s="1837"/>
      <c r="P46" s="2197"/>
      <c r="Q46" s="1638"/>
      <c r="R46" s="575"/>
      <c r="S46" s="2186" t="str">
        <f>INDEX(PT_DIFFERENTIATION_NUM_TER,MATCH(B46,PT_DIFFERENTIATION_TER_ID,0))</f>
        <v>.</v>
      </c>
      <c r="T46" s="1749" t="s">
        <v>503</v>
      </c>
      <c r="U46" s="522"/>
      <c r="V46" s="2383"/>
      <c r="W46" s="2383"/>
      <c r="X46" s="2383"/>
      <c r="Y46" s="2383"/>
      <c r="Z46" s="2383"/>
      <c r="AA46" s="2384"/>
      <c r="AB46" s="2180"/>
      <c r="AC46" s="2383"/>
      <c r="AD46" s="2383"/>
      <c r="AE46" s="2383"/>
      <c r="AF46" s="2383"/>
      <c r="AG46" s="2383"/>
      <c r="AH46" s="2383"/>
      <c r="AI46" s="2383"/>
      <c r="AJ46" s="2384"/>
      <c r="AK46" s="1484" t="s">
        <v>504</v>
      </c>
      <c r="AM46" s="1851"/>
      <c r="AN46" s="1851" t="str">
        <f>IF(T46="","",T46)</f>
        <v>Территория действия тарифа</v>
      </c>
      <c r="AO46" s="1851"/>
      <c r="AP46" s="1851"/>
    </row>
    <row customHeight="1" ht="23.25">
      <c r="A47" s="1494" t="s">
        <v>254</v>
      </c>
      <c r="B47" s="1494" t="s">
        <v>255</v>
      </c>
      <c r="C47" s="1494" t="s">
        <v>256</v>
      </c>
      <c r="D47" s="1494"/>
      <c r="E47" s="2424"/>
      <c r="F47" s="2424"/>
      <c r="G47" s="2423">
        <v>1</v>
      </c>
      <c r="H47" s="1494"/>
      <c r="I47" s="1494"/>
      <c r="J47" s="1494"/>
      <c r="K47" s="1494"/>
      <c r="L47" s="1537"/>
      <c r="M47" s="1837"/>
      <c r="N47" s="1837"/>
      <c r="O47" s="1837"/>
      <c r="P47" s="1639"/>
      <c r="Q47" s="1638"/>
      <c r="R47" s="575"/>
      <c r="S47" s="2186" t="str">
        <f>INDEX(PT_DIFFERENTIATION_NUM_CS,MATCH(C47,PT_DIFFERENTIATION_CS_ID,0))</f>
        <v>..</v>
      </c>
      <c r="T47" s="531" t="s">
        <v>505</v>
      </c>
      <c r="U47" s="522"/>
      <c r="V47" s="2383"/>
      <c r="W47" s="2383"/>
      <c r="X47" s="2383"/>
      <c r="Y47" s="2383"/>
      <c r="Z47" s="2383"/>
      <c r="AA47" s="2384"/>
      <c r="AB47" s="2180"/>
      <c r="AC47" s="2383"/>
      <c r="AD47" s="2383"/>
      <c r="AE47" s="2383"/>
      <c r="AF47" s="2383"/>
      <c r="AG47" s="2383"/>
      <c r="AH47" s="2383"/>
      <c r="AI47" s="2383"/>
      <c r="AJ47" s="2384"/>
      <c r="AK47" s="1484" t="s">
        <v>506</v>
      </c>
      <c r="AM47" s="1851"/>
      <c r="AN47" s="1851" t="str">
        <f>IF(T47="","",T47)</f>
        <v>Наименование системы теплоснабжения </v>
      </c>
      <c r="AO47" s="1851"/>
      <c r="AP47" s="1851"/>
    </row>
    <row customHeight="1" ht="21">
      <c r="A48" s="1494" t="s">
        <v>254</v>
      </c>
      <c r="B48" s="1494" t="s">
        <v>255</v>
      </c>
      <c r="C48" s="1494" t="s">
        <v>256</v>
      </c>
      <c r="D48" s="1494" t="s">
        <v>257</v>
      </c>
      <c r="E48" s="2424"/>
      <c r="F48" s="2424"/>
      <c r="G48" s="2424"/>
      <c r="H48" s="2423">
        <v>1</v>
      </c>
      <c r="I48" s="1494"/>
      <c r="J48" s="1494"/>
      <c r="K48" s="1494"/>
      <c r="L48" s="1537"/>
      <c r="M48" s="1837"/>
      <c r="N48" s="1837"/>
      <c r="O48" s="1837"/>
      <c r="P48" s="1639"/>
      <c r="Q48" s="1638"/>
      <c r="R48" s="575"/>
      <c r="S48" s="2186" t="str">
        <f>INDEX(PT_DIFFERENTIATION_NUM_IST_TE,MATCH(D48,PT_DIFFERENTIATION_IST_TE_ID,0))</f>
        <v>...</v>
      </c>
      <c r="T48" s="532" t="s">
        <v>507</v>
      </c>
      <c r="U48" s="522"/>
      <c r="V48" s="2383"/>
      <c r="W48" s="2383"/>
      <c r="X48" s="2383"/>
      <c r="Y48" s="2383"/>
      <c r="Z48" s="2383"/>
      <c r="AA48" s="2384"/>
      <c r="AB48" s="2180"/>
      <c r="AC48" s="2383"/>
      <c r="AD48" s="2383"/>
      <c r="AE48" s="2383"/>
      <c r="AF48" s="2383"/>
      <c r="AG48" s="2383"/>
      <c r="AH48" s="2383"/>
      <c r="AI48" s="2383"/>
      <c r="AJ48" s="2384"/>
      <c r="AK48" s="1484" t="s">
        <v>508</v>
      </c>
      <c r="AM48" s="1851"/>
      <c r="AN48" s="1851" t="str">
        <f>IF(T48="","",T48)</f>
        <v>Источник тепловой энергии  </v>
      </c>
      <c r="AO48" s="1851"/>
      <c r="AP48" s="1851"/>
    </row>
    <row s="16674" customFormat="1" customHeight="1" ht="0">
      <c r="A49" s="1602" t="s">
        <v>254</v>
      </c>
      <c r="B49" s="1602" t="s">
        <v>255</v>
      </c>
      <c r="C49" s="1602" t="s">
        <v>256</v>
      </c>
      <c r="D49" s="1602" t="s">
        <v>257</v>
      </c>
      <c r="E49" s="2424"/>
      <c r="F49" s="2424"/>
      <c r="G49" s="2424"/>
      <c r="H49" s="2424"/>
      <c r="I49" s="2253" t="str">
        <f>S48&amp;".1"</f>
        <v>....1</v>
      </c>
      <c r="J49" s="1602"/>
      <c r="K49" s="1602"/>
      <c r="L49" s="1608" t="s">
        <v>509</v>
      </c>
      <c r="M49" s="1472"/>
      <c r="N49" s="1472"/>
      <c r="O49" s="1472"/>
      <c r="P49" s="2392">
        <v>1</v>
      </c>
      <c r="Q49" s="2182"/>
      <c r="R49" s="578"/>
      <c r="S49" s="1265"/>
      <c r="T49" s="1610"/>
      <c r="U49" s="1611"/>
      <c r="V49" s="2431"/>
      <c r="W49" s="2431"/>
      <c r="X49" s="2431"/>
      <c r="Y49" s="2431"/>
      <c r="Z49" s="2431"/>
      <c r="AA49" s="2432"/>
      <c r="AB49" s="2188"/>
      <c r="AC49" s="2431"/>
      <c r="AD49" s="2431"/>
      <c r="AE49" s="2431"/>
      <c r="AF49" s="2431"/>
      <c r="AG49" s="2431"/>
      <c r="AH49" s="2431"/>
      <c r="AI49" s="2431"/>
      <c r="AJ49" s="2432"/>
      <c r="AK49" s="1612"/>
      <c r="AM49" s="1851"/>
      <c r="AN49" s="1851" t="str">
        <f>IF(T49="","",T49)</f>
        <v/>
      </c>
      <c r="AO49" s="1851"/>
      <c r="AP49" s="1851"/>
    </row>
    <row s="16674" customFormat="1" customHeight="1" ht="0">
      <c r="A50" s="1602" t="s">
        <v>254</v>
      </c>
      <c r="B50" s="1602" t="s">
        <v>255</v>
      </c>
      <c r="C50" s="1602" t="s">
        <v>256</v>
      </c>
      <c r="D50" s="1602" t="s">
        <v>257</v>
      </c>
      <c r="E50" s="2424"/>
      <c r="F50" s="2424"/>
      <c r="G50" s="2424"/>
      <c r="H50" s="2424"/>
      <c r="I50" s="2237"/>
      <c r="J50" s="2253" t="str">
        <f>S48&amp;".1"</f>
        <v>....1</v>
      </c>
      <c r="K50" s="1602"/>
      <c r="L50" s="1608"/>
      <c r="M50" s="1472"/>
      <c r="N50" s="1472"/>
      <c r="O50" s="1472"/>
      <c r="P50" s="2392"/>
      <c r="Q50" s="2392">
        <v>1</v>
      </c>
      <c r="R50" s="579"/>
      <c r="S50" s="1265"/>
      <c r="T50" s="1626"/>
      <c r="U50" s="1611"/>
      <c r="V50" s="2431"/>
      <c r="W50" s="2431"/>
      <c r="X50" s="2431"/>
      <c r="Y50" s="2431"/>
      <c r="Z50" s="2431"/>
      <c r="AA50" s="2432"/>
      <c r="AB50" s="2188"/>
      <c r="AC50" s="2431"/>
      <c r="AD50" s="2431"/>
      <c r="AE50" s="2431"/>
      <c r="AF50" s="2431"/>
      <c r="AG50" s="2431"/>
      <c r="AH50" s="2431"/>
      <c r="AI50" s="2431"/>
      <c r="AJ50" s="2432"/>
      <c r="AK50" s="1612"/>
      <c r="AM50" s="1851"/>
      <c r="AN50" s="1851" t="str">
        <f>IF(T50="","",T50)</f>
        <v/>
      </c>
      <c r="AO50" s="1851"/>
      <c r="AP50" s="1851"/>
    </row>
    <row customHeight="1" ht="21">
      <c r="A51" s="1494" t="s">
        <v>254</v>
      </c>
      <c r="B51" s="1494" t="s">
        <v>255</v>
      </c>
      <c r="C51" s="1494" t="s">
        <v>256</v>
      </c>
      <c r="D51" s="1494" t="s">
        <v>257</v>
      </c>
      <c r="E51" s="2424"/>
      <c r="F51" s="2424"/>
      <c r="G51" s="2424"/>
      <c r="H51" s="2424"/>
      <c r="I51" s="2237"/>
      <c r="J51" s="2237"/>
      <c r="K51" s="2169" t="str">
        <f>S48&amp;".1"</f>
        <v>....1</v>
      </c>
      <c r="L51" s="1537"/>
      <c r="P51" s="2392"/>
      <c r="Q51" s="2392"/>
      <c r="R51" s="579">
        <v>1</v>
      </c>
      <c r="S51" s="2190" t="str">
        <f>$K51</f>
        <v>....1</v>
      </c>
      <c r="T51" s="2189"/>
      <c r="U51" s="522"/>
      <c r="V51" s="973"/>
      <c r="W51" s="1483"/>
      <c r="X51" s="2183"/>
      <c r="Y51" s="2170" t="s">
        <v>63</v>
      </c>
      <c r="Z51" s="2183"/>
      <c r="AA51" s="2170" t="s">
        <v>63</v>
      </c>
      <c r="AB51" s="2192"/>
      <c r="AC51" s="2191" t="s">
        <v>24</v>
      </c>
      <c r="AD51" s="973"/>
      <c r="AE51" s="1483"/>
      <c r="AF51" s="2183"/>
      <c r="AG51" s="2170" t="s">
        <v>63</v>
      </c>
      <c r="AH51" s="2183"/>
      <c r="AI51" s="2170" t="s">
        <v>63</v>
      </c>
      <c r="AJ51" s="1575"/>
      <c r="AK51" s="2418" t="s">
        <v>584</v>
      </c>
      <c r="AL51" s="1863">
        <f>STRCHECKDATE(#REF!)</f>
      </c>
      <c r="AM51" s="1851"/>
      <c r="AN51" s="1851" t="str">
        <f>IF(T51="","",T51)</f>
        <v/>
      </c>
      <c r="AO51" s="1851"/>
      <c r="AP51" s="1851"/>
    </row>
    <row customHeight="1" ht="11.25">
      <c r="A52" s="1494" t="s">
        <v>254</v>
      </c>
      <c r="B52" s="1494" t="s">
        <v>255</v>
      </c>
      <c r="C52" s="1494" t="s">
        <v>256</v>
      </c>
      <c r="D52" s="1494" t="s">
        <v>257</v>
      </c>
      <c r="E52" s="2424"/>
      <c r="F52" s="2424"/>
      <c r="G52" s="2424"/>
      <c r="H52" s="2424"/>
      <c r="I52" s="2237"/>
      <c r="J52" s="2253"/>
      <c r="K52" s="1494"/>
      <c r="L52" s="1537"/>
      <c r="P52" s="2392"/>
      <c r="Q52" s="2392"/>
      <c r="R52" s="578"/>
      <c r="S52" s="1505"/>
      <c r="T52" s="509" t="s">
        <v>571</v>
      </c>
      <c r="U52" s="822"/>
      <c r="V52" s="822"/>
      <c r="W52" s="822"/>
      <c r="X52" s="822"/>
      <c r="Y52" s="822"/>
      <c r="Z52" s="822"/>
      <c r="AA52" s="546"/>
      <c r="AB52" s="822"/>
      <c r="AC52" s="822"/>
      <c r="AD52" s="822"/>
      <c r="AE52" s="822"/>
      <c r="AF52" s="822"/>
      <c r="AG52" s="822"/>
      <c r="AH52" s="822"/>
      <c r="AI52" s="822"/>
      <c r="AJ52" s="546"/>
      <c r="AK52" s="2420"/>
      <c r="AM52" s="1851"/>
      <c r="AN52" s="1851" t="str">
        <f>IF(T52="","",T52)</f>
        <v>Добавить строку</v>
      </c>
      <c r="AO52" s="1851"/>
      <c r="AP52" s="1851"/>
    </row>
    <row s="16674" customFormat="1" customHeight="1" ht="5.25">
      <c r="A53" s="1602" t="s">
        <v>254</v>
      </c>
      <c r="B53" s="1602" t="s">
        <v>255</v>
      </c>
      <c r="C53" s="1602" t="s">
        <v>256</v>
      </c>
      <c r="D53" s="1602" t="s">
        <v>257</v>
      </c>
      <c r="E53" s="2424"/>
      <c r="F53" s="2424"/>
      <c r="G53" s="2424"/>
      <c r="H53" s="2424"/>
      <c r="I53" s="2253"/>
      <c r="J53" s="1602"/>
      <c r="K53" s="1602"/>
      <c r="L53" s="1608"/>
      <c r="M53" s="1472"/>
      <c r="N53" s="1472"/>
      <c r="O53" s="1472"/>
      <c r="P53" s="2392"/>
      <c r="Q53" s="2182"/>
      <c r="R53" s="578"/>
      <c r="S53" s="1613"/>
      <c r="T53" s="1614" t="s">
        <v>518</v>
      </c>
      <c r="U53" s="1615"/>
      <c r="V53" s="1615"/>
      <c r="W53" s="1615"/>
      <c r="X53" s="1615"/>
      <c r="Y53" s="1615"/>
      <c r="Z53" s="1615"/>
      <c r="AA53" s="1615"/>
      <c r="AB53" s="1615"/>
      <c r="AC53" s="1615"/>
      <c r="AD53" s="1615"/>
      <c r="AE53" s="1615"/>
      <c r="AF53" s="1615"/>
      <c r="AG53" s="1615"/>
      <c r="AH53" s="1615"/>
      <c r="AI53" s="1615"/>
      <c r="AJ53" s="1615"/>
      <c r="AK53" s="1616"/>
      <c r="AM53" s="1851"/>
      <c r="AN53" s="1851" t="str">
        <f>IF(T53="","",T53)</f>
        <v>Добавить группу потребителей</v>
      </c>
      <c r="AO53" s="1851"/>
      <c r="AP53" s="1851"/>
    </row>
    <row s="16671" customFormat="1" customHeight="1" ht="5.25">
      <c r="A54" s="1602" t="s">
        <v>254</v>
      </c>
      <c r="B54" s="1602" t="s">
        <v>255</v>
      </c>
      <c r="C54" s="1602" t="s">
        <v>256</v>
      </c>
      <c r="D54" s="1602" t="s">
        <v>257</v>
      </c>
      <c r="E54" s="2424"/>
      <c r="F54" s="2424"/>
      <c r="G54" s="2424"/>
      <c r="H54" s="2423"/>
      <c r="I54" s="1602"/>
      <c r="J54" s="1602"/>
      <c r="K54" s="1602"/>
      <c r="L54" s="1608"/>
      <c r="M54" s="1605"/>
      <c r="N54" s="1605"/>
      <c r="O54" s="573"/>
      <c r="P54" s="602"/>
      <c r="Q54" s="1571"/>
      <c r="R54" s="1627"/>
      <c r="S54" s="1613"/>
      <c r="T54" s="1614"/>
      <c r="U54" s="1615"/>
      <c r="V54" s="1615"/>
      <c r="W54" s="1615"/>
      <c r="X54" s="1615"/>
      <c r="Y54" s="1615"/>
      <c r="Z54" s="1615"/>
      <c r="AA54" s="1615"/>
      <c r="AB54" s="1615"/>
      <c r="AC54" s="1615"/>
      <c r="AD54" s="1615"/>
      <c r="AE54" s="1615"/>
      <c r="AF54" s="1615"/>
      <c r="AG54" s="1615"/>
      <c r="AH54" s="1615"/>
      <c r="AI54" s="1615"/>
      <c r="AJ54" s="1615"/>
      <c r="AK54" s="1616"/>
      <c r="AL54" s="1863"/>
      <c r="AM54" s="1851"/>
      <c r="AN54" s="1851" t="str">
        <f>IF(T54="","",T54)</f>
        <v/>
      </c>
      <c r="AO54" s="1851"/>
      <c r="AP54" s="1851"/>
    </row>
    <row s="16654" customFormat="1" customHeight="1" ht="5.25">
      <c r="A55" s="1602" t="s">
        <v>254</v>
      </c>
      <c r="B55" s="1602" t="s">
        <v>255</v>
      </c>
      <c r="C55" s="1602" t="s">
        <v>256</v>
      </c>
      <c r="D55" s="1601"/>
      <c r="E55" s="2424"/>
      <c r="F55" s="2424"/>
      <c r="G55" s="2423"/>
      <c r="H55" s="1601"/>
      <c r="I55" s="1601"/>
      <c r="J55" s="1601"/>
      <c r="K55" s="1601"/>
      <c r="L55" s="1604"/>
      <c r="M55" s="1605"/>
      <c r="N55" s="1605"/>
      <c r="O55" s="573"/>
      <c r="P55" s="1543"/>
      <c r="Q55" s="1544"/>
      <c r="R55" s="1543"/>
      <c r="S55" s="1549"/>
      <c r="T55" s="1552" t="s">
        <v>520</v>
      </c>
      <c r="U55" s="1551"/>
      <c r="V55" s="1551"/>
      <c r="W55" s="1551"/>
      <c r="X55" s="1551"/>
      <c r="Y55" s="1551"/>
      <c r="Z55" s="1551"/>
      <c r="AA55" s="1551"/>
      <c r="AB55" s="1551"/>
      <c r="AC55" s="1551"/>
      <c r="AD55" s="1551"/>
      <c r="AE55" s="1551"/>
      <c r="AF55" s="1551"/>
      <c r="AG55" s="1551"/>
      <c r="AH55" s="1551"/>
      <c r="AI55" s="1551"/>
      <c r="AJ55" s="1551"/>
      <c r="AK55" s="1551"/>
      <c r="AM55" s="1477"/>
      <c r="AN55" s="1477" t="str">
        <f>IF(T55="","",T55)</f>
        <v>Добавить источник для дифференциации</v>
      </c>
      <c r="AO55" s="1477"/>
      <c r="AP55" s="1477"/>
    </row>
    <row s="16654" customFormat="1" customHeight="1" ht="5.25">
      <c r="A56" s="1602" t="s">
        <v>254</v>
      </c>
      <c r="B56" s="1602" t="s">
        <v>255</v>
      </c>
      <c r="C56" s="1601"/>
      <c r="D56" s="1601"/>
      <c r="E56" s="2424"/>
      <c r="F56" s="2423"/>
      <c r="G56" s="1601"/>
      <c r="H56" s="1601"/>
      <c r="I56" s="1601"/>
      <c r="J56" s="1601"/>
      <c r="K56" s="1601"/>
      <c r="L56" s="1604"/>
      <c r="M56" s="1606"/>
      <c r="N56" s="1606"/>
      <c r="O56" s="573"/>
      <c r="P56" s="1543"/>
      <c r="Q56" s="1544"/>
      <c r="R56" s="1543"/>
      <c r="S56" s="1549"/>
      <c r="T56" s="1552" t="s">
        <v>305</v>
      </c>
      <c r="U56" s="1551"/>
      <c r="V56" s="1551"/>
      <c r="W56" s="1551"/>
      <c r="X56" s="1551"/>
      <c r="Y56" s="1551"/>
      <c r="Z56" s="1551"/>
      <c r="AA56" s="1551"/>
      <c r="AB56" s="1551"/>
      <c r="AC56" s="1551"/>
      <c r="AD56" s="1551"/>
      <c r="AE56" s="1551"/>
      <c r="AF56" s="1551"/>
      <c r="AG56" s="1551"/>
      <c r="AH56" s="1551"/>
      <c r="AI56" s="1551"/>
      <c r="AJ56" s="1551"/>
      <c r="AK56" s="1551"/>
      <c r="AM56" s="1477"/>
      <c r="AN56" s="1477" t="str">
        <f>IF(T56="","",T56)</f>
        <v>Добавить централизованную систему для дифференциации</v>
      </c>
      <c r="AO56" s="1477"/>
      <c r="AP56" s="1477"/>
    </row>
    <row s="16674" customFormat="1" customHeight="1" ht="5.25">
      <c r="A57" s="1602" t="s">
        <v>254</v>
      </c>
      <c r="B57" s="1602"/>
      <c r="C57" s="1602"/>
      <c r="D57" s="1602"/>
      <c r="E57" s="2424"/>
      <c r="F57" s="1602"/>
      <c r="G57" s="1602"/>
      <c r="H57" s="1602"/>
      <c r="I57" s="1602"/>
      <c r="J57" s="1602"/>
      <c r="K57" s="1602"/>
      <c r="L57" s="1608"/>
      <c r="M57" s="1606"/>
      <c r="N57" s="1606"/>
      <c r="O57" s="573"/>
      <c r="P57" s="602"/>
      <c r="Q57" s="1571"/>
      <c r="R57" s="602"/>
      <c r="S57" s="1549"/>
      <c r="T57" s="1552" t="s">
        <v>358</v>
      </c>
      <c r="U57" s="1551"/>
      <c r="V57" s="1551"/>
      <c r="W57" s="1551"/>
      <c r="X57" s="1551"/>
      <c r="Y57" s="1551"/>
      <c r="Z57" s="1551"/>
      <c r="AA57" s="1551"/>
      <c r="AB57" s="1551"/>
      <c r="AC57" s="1551"/>
      <c r="AD57" s="1551"/>
      <c r="AE57" s="1551"/>
      <c r="AF57" s="1551"/>
      <c r="AG57" s="1551"/>
      <c r="AH57" s="1551"/>
      <c r="AI57" s="1551"/>
      <c r="AJ57" s="1551"/>
      <c r="AK57" s="1551"/>
      <c r="AM57" s="1851"/>
      <c r="AN57" s="1851" t="str">
        <f>IF(T57="","",T57)</f>
        <v>Добавить территорию для дифференциации</v>
      </c>
      <c r="AO57" s="1851"/>
      <c r="AP57" s="1851"/>
    </row>
    <row s="16674" customFormat="1" customHeight="1" ht="5.25">
      <c r="A58" s="1602" t="s">
        <v>254</v>
      </c>
      <c r="B58" s="1602"/>
      <c r="C58" s="1602"/>
      <c r="D58" s="1602"/>
      <c r="E58" s="2423"/>
      <c r="F58" s="1602"/>
      <c r="G58" s="1602"/>
      <c r="H58" s="1602"/>
      <c r="I58" s="1602"/>
      <c r="J58" s="1602"/>
      <c r="K58" s="1602"/>
      <c r="L58" s="1608"/>
      <c r="M58" s="1606"/>
      <c r="N58" s="1606"/>
      <c r="O58" s="573"/>
      <c r="P58" s="602"/>
      <c r="Q58" s="1571"/>
      <c r="R58" s="602"/>
      <c r="S58" s="1549"/>
      <c r="T58" s="1552" t="s">
        <v>358</v>
      </c>
      <c r="U58" s="1551"/>
      <c r="V58" s="1551"/>
      <c r="W58" s="1551"/>
      <c r="X58" s="1551"/>
      <c r="Y58" s="1551"/>
      <c r="Z58" s="1551"/>
      <c r="AA58" s="1551"/>
      <c r="AB58" s="1551"/>
      <c r="AC58" s="1551"/>
      <c r="AD58" s="1551"/>
      <c r="AE58" s="1551"/>
      <c r="AF58" s="1551"/>
      <c r="AG58" s="1551"/>
      <c r="AH58" s="1551"/>
      <c r="AI58" s="1551"/>
      <c r="AJ58" s="1551"/>
      <c r="AK58" s="1551"/>
      <c r="AM58" s="1851"/>
      <c r="AN58" s="1851" t="str">
        <f>IF(T58="","",T58)</f>
        <v>Добавить территорию для дифференциации</v>
      </c>
      <c r="AO58" s="1851"/>
      <c r="AP58" s="1851"/>
    </row>
    <row s="16654" customFormat="1" customHeight="1" ht="5.25">
      <c r="A59" s="1601"/>
      <c r="B59" s="1601"/>
      <c r="C59" s="1601"/>
      <c r="D59" s="1601"/>
      <c r="E59" s="1602"/>
      <c r="F59" s="1601"/>
      <c r="G59" s="1601"/>
      <c r="H59" s="1601"/>
      <c r="I59" s="1601"/>
      <c r="J59" s="1601"/>
      <c r="K59" s="1601"/>
      <c r="L59" s="1604"/>
      <c r="M59" s="1606"/>
      <c r="N59" s="1606"/>
      <c r="O59" s="573"/>
      <c r="P59" s="1543"/>
      <c r="Q59" s="1544"/>
      <c r="R59" s="1543"/>
      <c r="S59" s="1549"/>
      <c r="T59" s="1552" t="s">
        <v>359</v>
      </c>
      <c r="U59" s="1551"/>
      <c r="V59" s="1551"/>
      <c r="W59" s="1551"/>
      <c r="X59" s="1551"/>
      <c r="Y59" s="1551"/>
      <c r="Z59" s="1551"/>
      <c r="AA59" s="1551"/>
      <c r="AB59" s="1551"/>
      <c r="AC59" s="1551"/>
      <c r="AD59" s="1551"/>
      <c r="AE59" s="1551"/>
      <c r="AF59" s="1551"/>
      <c r="AG59" s="1551"/>
      <c r="AH59" s="1551"/>
      <c r="AI59" s="1551"/>
      <c r="AJ59" s="1551"/>
      <c r="AK59" s="1551"/>
      <c r="AM59" s="1477"/>
      <c r="AN59" s="1477" t="str">
        <f>IF(T59="","",T59)</f>
        <v>Добавить наименование тарифа</v>
      </c>
      <c r="AO59" s="1477"/>
      <c r="AP59" s="1477"/>
    </row>
    <row customHeight="1" ht="11.25">
      <c r="M60" s="1858"/>
      <c r="N60" s="1858"/>
      <c r="O60" s="1862"/>
      <c r="P60" s="1593"/>
      <c r="Q60" s="1593"/>
      <c r="R60" s="1858"/>
      <c r="S60" s="1858"/>
      <c r="AL60" s="1858"/>
      <c r="AM60" s="1858"/>
      <c r="AN60" s="1858"/>
      <c r="AO60" s="1858"/>
      <c r="AP60" s="1858"/>
    </row>
    <row customHeight="1" ht="18.75">
      <c r="O61" s="1862"/>
      <c r="S61" s="1479"/>
      <c r="T61" s="2387"/>
      <c r="U61" s="2387"/>
      <c r="V61" s="2387"/>
      <c r="W61" s="2387"/>
      <c r="X61" s="2387"/>
      <c r="Y61" s="2387"/>
      <c r="Z61" s="2387"/>
      <c r="AA61" s="2387"/>
      <c r="AB61" s="2387"/>
      <c r="AC61" s="2387"/>
      <c r="AD61" s="2387"/>
      <c r="AE61" s="2387"/>
      <c r="AF61" s="2387"/>
      <c r="AG61" s="2387"/>
      <c r="AH61" s="2387"/>
      <c r="AI61" s="2387"/>
      <c r="AJ61" s="2387"/>
      <c r="AK61" s="2387"/>
    </row>
    <row customHeight="1" ht="19.5">
      <c r="O62" s="1862"/>
      <c r="T62" s="2387"/>
      <c r="U62" s="2387"/>
      <c r="V62" s="2387"/>
      <c r="W62" s="2387"/>
      <c r="X62" s="2387"/>
      <c r="Y62" s="2387"/>
      <c r="Z62" s="2387"/>
      <c r="AA62" s="2387"/>
      <c r="AB62" s="2387"/>
      <c r="AC62" s="2387"/>
      <c r="AD62" s="2387"/>
      <c r="AE62" s="2387"/>
      <c r="AF62" s="2387"/>
      <c r="AG62" s="2387"/>
      <c r="AH62" s="2387"/>
      <c r="AI62" s="2387"/>
      <c r="AJ62" s="2387"/>
      <c r="AK62" s="2387"/>
    </row>
    <row customHeight="1" ht="14.25">
      <c r="O63" s="1862"/>
      <c r="T63" s="2181"/>
      <c r="U63" s="2181"/>
      <c r="V63" s="2181"/>
      <c r="W63" s="2181"/>
      <c r="X63" s="2181"/>
      <c r="Y63" s="2181"/>
      <c r="Z63" s="2181"/>
      <c r="AA63" s="2181"/>
      <c r="AB63" s="2181"/>
      <c r="AC63" s="2181"/>
      <c r="AD63" s="2181"/>
      <c r="AE63" s="2181"/>
      <c r="AF63" s="2181"/>
      <c r="AG63" s="2181"/>
      <c r="AH63" s="2181"/>
      <c r="AI63" s="2181"/>
      <c r="AJ63" s="2181"/>
      <c r="AK63" s="2181"/>
    </row>
    <row customHeight="1" ht="18.75">
      <c r="O64" s="1862"/>
      <c r="T64" s="2387"/>
      <c r="U64" s="2387"/>
      <c r="V64" s="2387"/>
      <c r="W64" s="2387"/>
      <c r="X64" s="2387"/>
      <c r="Y64" s="2387"/>
      <c r="Z64" s="2387"/>
      <c r="AA64" s="2387"/>
      <c r="AB64" s="2387"/>
      <c r="AC64" s="2387"/>
      <c r="AD64" s="2387"/>
      <c r="AE64" s="2387"/>
      <c r="AF64" s="2387"/>
      <c r="AG64" s="2387"/>
      <c r="AH64" s="2387"/>
      <c r="AI64" s="2387"/>
      <c r="AJ64" s="2387"/>
      <c r="AK64" s="2387"/>
    </row>
    <row customHeight="1" ht="15.75">
      <c r="O65" s="1862"/>
      <c r="T65" s="2387"/>
      <c r="U65" s="2387"/>
      <c r="V65" s="2387"/>
      <c r="W65" s="2387"/>
      <c r="X65" s="2387"/>
      <c r="Y65" s="2387"/>
      <c r="Z65" s="2387"/>
      <c r="AA65" s="2387"/>
      <c r="AB65" s="2387"/>
      <c r="AC65" s="2387"/>
      <c r="AD65" s="2387"/>
      <c r="AE65" s="2387"/>
      <c r="AF65" s="2387"/>
      <c r="AG65" s="2387"/>
      <c r="AH65" s="2387"/>
      <c r="AI65" s="2387"/>
      <c r="AJ65" s="2387"/>
      <c r="AK65" s="2387"/>
    </row>
    <row customHeight="1" ht="14.25">
      <c r="O66" s="1862"/>
    </row>
  </sheetData>
  <sheetProtection sort="0" autoFilter="0" insertRows="0" insertColumns="1" deleteRows="0" deleteColumns="0"/>
  <mergeCells count="97">
    <mergeCell ref="T65:AK65"/>
    <mergeCell ref="V50:AA50"/>
    <mergeCell ref="AC50:AJ50"/>
    <mergeCell ref="AK51:AK52"/>
    <mergeCell ref="T61:AK61"/>
    <mergeCell ref="T62:AK62"/>
    <mergeCell ref="T64:AK64"/>
    <mergeCell ref="I49:I53"/>
    <mergeCell ref="P49:P53"/>
    <mergeCell ref="V49:AA49"/>
    <mergeCell ref="AC49:AJ49"/>
    <mergeCell ref="J50:J52"/>
    <mergeCell ref="Q50:Q5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S36:T36"/>
    <mergeCell ref="V36:Z36"/>
    <mergeCell ref="AC36:AH36"/>
    <mergeCell ref="V38:AA38"/>
    <mergeCell ref="AC38:AI38"/>
    <mergeCell ref="S33:T33"/>
    <mergeCell ref="V33:Z33"/>
    <mergeCell ref="AC33:AH33"/>
    <mergeCell ref="S35:T35"/>
    <mergeCell ref="V35:Z35"/>
    <mergeCell ref="AC35:AH35"/>
    <mergeCell ref="S31:T31"/>
    <mergeCell ref="V31:Z31"/>
    <mergeCell ref="AC31:AH31"/>
    <mergeCell ref="S32:T32"/>
    <mergeCell ref="V32:Z32"/>
    <mergeCell ref="AC32:AH32"/>
    <mergeCell ref="AK8:AK12"/>
    <mergeCell ref="S27:AH27"/>
    <mergeCell ref="S30:T30"/>
    <mergeCell ref="V30:Z30"/>
    <mergeCell ref="AC30:AH30"/>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DE2BCA-4648-71A7-DBA1-6EDB33FA95A7}" mc:Ignorable="x14ac xr xr2 xr3">
  <sheetPr>
    <tabColor theme="6" tint="0.4"/>
  </sheetPr>
  <dimension ref="A1:BH80"/>
  <sheetViews>
    <sheetView topLeftCell="A1" showGridLines="0" zoomScale="90" workbookViewId="0">
      <selection activeCell="AS80" sqref="AS80"/>
    </sheetView>
  </sheetViews>
  <sheetFormatPr defaultColWidth="10.57421875" customHeight="1" defaultRowHeight="14.25"/>
  <cols>
    <col min="1" max="1" style="16550" width="11.57421875" hidden="1" customWidth="1"/>
    <col min="2" max="2" style="16550" width="11.00390625" hidden="1" customWidth="1"/>
    <col min="3" max="3" style="16550" width="10.57421875" hidden="1"/>
    <col min="4" max="4" style="16550" width="12.8515625" hidden="1" customWidth="1"/>
    <col min="5" max="5" style="16550" width="10.00390625" hidden="1" customWidth="1"/>
    <col min="6" max="6" style="16550" width="8.7109375" hidden="1" customWidth="1"/>
    <col min="7" max="7" style="16550" width="7.57421875" hidden="1" customWidth="1"/>
    <col min="8" max="8" style="16550" width="11.421875" hidden="1" customWidth="1"/>
    <col min="9" max="9" style="16550" width="12.00390625" hidden="1" customWidth="1"/>
    <col min="10" max="10" style="16550" width="9.8515625" hidden="1" customWidth="1"/>
    <col min="11" max="11" style="16550" width="11.421875" hidden="1" customWidth="1"/>
    <col min="12" max="12" style="16888" width="19.140625" hidden="1" customWidth="1"/>
    <col min="13" max="14" style="16631" width="12.28125" hidden="1" customWidth="1"/>
    <col min="15" max="15" style="16631" width="23.421875" hidden="1" customWidth="1"/>
    <col min="16" max="16" style="16631" width="3.7109375" hidden="1" customWidth="1"/>
    <col min="17" max="17" style="16803" width="3.7109375" hidden="1" customWidth="1"/>
    <col min="18" max="18" style="16633" width="3.7109375" customWidth="1"/>
    <col min="19" max="19" style="16634" width="12.7109375" customWidth="1"/>
    <col min="20" max="20" style="16635" width="32.00390625" customWidth="1"/>
    <col min="21" max="21" style="16635" width="0.140625" customWidth="1"/>
    <col min="22" max="25" style="16635" width="21.7109375" hidden="1" customWidth="1"/>
    <col min="26" max="26" style="16635" width="11.7109375" hidden="1" customWidth="1"/>
    <col min="27" max="27" style="16635" width="3.7109375" hidden="1" customWidth="1"/>
    <col min="28" max="28" style="16635" width="11.7109375" hidden="1" customWidth="1"/>
    <col min="29" max="29" style="16635" width="8.57421875" hidden="1" customWidth="1"/>
    <col min="30" max="32" style="16635" width="3.7109375" customWidth="1"/>
    <col min="33" max="33" style="16635" width="24.7109375" customWidth="1"/>
    <col min="34" max="36" style="16635" width="3.7109375" customWidth="1"/>
    <col min="37" max="37" style="16635" width="24.7109375" customWidth="1"/>
    <col min="38" max="40" style="16635" width="3.7109375" customWidth="1"/>
    <col min="41" max="41" style="16635" width="18.8515625" customWidth="1"/>
    <col min="42" max="44" style="16635" width="3.7109375" customWidth="1"/>
    <col min="45" max="45" style="16635" width="18.8515625" customWidth="1"/>
    <col min="46" max="49" style="16635" width="21.7109375" customWidth="1"/>
    <col min="50" max="50" style="16635" width="11.7109375" customWidth="1"/>
    <col min="51" max="51" style="16635" width="3.7109375" customWidth="1"/>
    <col min="52" max="52" style="16635" width="11.7109375" customWidth="1"/>
    <col min="53" max="53" style="16635" width="8.57421875" hidden="1" customWidth="1"/>
    <col min="54" max="54" style="16635" width="4.7109375" customWidth="1"/>
    <col min="55" max="55" style="16635" width="115.7109375" customWidth="1"/>
    <col min="56" max="57" style="16622" width="10.57421875"/>
    <col min="58" max="58" style="16622" width="11.140625" customWidth="1"/>
    <col min="59" max="60" style="16622" width="10.57421875"/>
  </cols>
  <sheetData>
    <row customHeight="1" ht="14.25" hidden="1">
      <c r="W1" s="549"/>
      <c r="Y1" s="549"/>
      <c r="Z1" s="549"/>
      <c r="AW1" s="549"/>
      <c r="AX1" s="549"/>
    </row>
    <row customHeight="1" ht="21" hidden="1">
      <c r="A2" s="1590"/>
      <c r="B2" s="1590"/>
      <c r="C2" s="1590"/>
      <c r="D2" s="1590"/>
      <c r="E2" s="2388">
        <v>1</v>
      </c>
      <c r="F2" s="1590"/>
      <c r="G2" s="1590"/>
      <c r="H2" s="1590"/>
      <c r="I2" s="1590"/>
      <c r="J2" s="1590"/>
      <c r="K2" s="1590"/>
      <c r="L2" s="1591"/>
      <c r="M2" s="1592"/>
      <c r="N2" s="1592"/>
      <c r="O2" s="1592"/>
      <c r="P2" s="1636"/>
      <c r="Q2" s="1095"/>
      <c r="R2" s="577"/>
      <c r="S2" s="1692">
        <f>INDEX(PT_DIFFERENTIATION_NUM_NTAR,MATCH(A2,PT_DIFFERENTIATION_NTAR_ID,0))</f>
      </c>
      <c r="T2" s="520" t="s">
        <v>179</v>
      </c>
      <c r="U2" s="522"/>
      <c r="V2" s="2383"/>
      <c r="W2" s="2383"/>
      <c r="X2" s="2383"/>
      <c r="Y2" s="2383"/>
      <c r="Z2" s="2383"/>
      <c r="AA2" s="2383"/>
      <c r="AB2" s="2383"/>
      <c r="AC2" s="2384"/>
      <c r="AD2" s="2382">
        <f>INDEX(PT_DIFFERENTIATION_NTAR,MATCH(A2,PT_DIFFERENTIATION_NTAR_ID,0))</f>
      </c>
      <c r="AE2" s="2383"/>
      <c r="AF2" s="2383"/>
      <c r="AG2" s="2383"/>
      <c r="AH2" s="2383"/>
      <c r="AI2" s="2383"/>
      <c r="AJ2" s="2383"/>
      <c r="AK2" s="2383"/>
      <c r="AL2" s="2383"/>
      <c r="AM2" s="2383"/>
      <c r="AN2" s="2383"/>
      <c r="AO2" s="2383"/>
      <c r="AP2" s="2383"/>
      <c r="AQ2" s="2383"/>
      <c r="AR2" s="2383"/>
      <c r="AS2" s="2383"/>
      <c r="AT2" s="2383"/>
      <c r="AU2" s="2383"/>
      <c r="AV2" s="2383"/>
      <c r="AW2" s="2383"/>
      <c r="AX2" s="2383"/>
      <c r="AY2" s="2383"/>
      <c r="AZ2" s="2383"/>
      <c r="BA2" s="2383"/>
      <c r="BB2" s="2384"/>
      <c r="BC2" s="14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2"/>
      <c r="BF2" s="722" t="str">
        <f>IF(T2="","",T2)</f>
        <v>Наименование тарифа</v>
      </c>
      <c r="BG2" s="722"/>
      <c r="BH2" s="722"/>
    </row>
    <row customHeight="1" ht="21" hidden="1">
      <c r="A3" s="1590"/>
      <c r="B3" s="1590"/>
      <c r="C3" s="1590"/>
      <c r="D3" s="1590"/>
      <c r="E3" s="2389"/>
      <c r="F3" s="2388">
        <v>1</v>
      </c>
      <c r="G3" s="1590"/>
      <c r="H3" s="1590"/>
      <c r="I3" s="1590"/>
      <c r="J3" s="1590"/>
      <c r="K3" s="1590"/>
      <c r="L3" s="1591"/>
      <c r="M3" s="1592"/>
      <c r="N3" s="1592"/>
      <c r="O3" s="1592"/>
      <c r="P3" s="1637"/>
      <c r="Q3" s="1638"/>
      <c r="R3" s="575"/>
      <c r="S3" s="1692">
        <f>INDEX(PT_DIFFERENTIATION_NUM_TER,MATCH(B3,PT_DIFFERENTIATION_TER_ID,0))</f>
      </c>
      <c r="T3" s="530" t="s">
        <v>503</v>
      </c>
      <c r="U3" s="522"/>
      <c r="V3" s="2383"/>
      <c r="W3" s="2383"/>
      <c r="X3" s="2383"/>
      <c r="Y3" s="2383"/>
      <c r="Z3" s="2383"/>
      <c r="AA3" s="2383"/>
      <c r="AB3" s="2383"/>
      <c r="AC3" s="2384"/>
      <c r="AD3" s="2382">
        <f>INDEX(PT_DIFFERENTIATION_TER,MATCH(B3,PT_DIFFERENTIATION_TER_ID,0))</f>
      </c>
      <c r="AE3" s="2383"/>
      <c r="AF3" s="2383"/>
      <c r="AG3" s="2383"/>
      <c r="AH3" s="2383"/>
      <c r="AI3" s="2383"/>
      <c r="AJ3" s="2383"/>
      <c r="AK3" s="2383"/>
      <c r="AL3" s="2383"/>
      <c r="AM3" s="2383"/>
      <c r="AN3" s="2383"/>
      <c r="AO3" s="2383"/>
      <c r="AP3" s="2383"/>
      <c r="AQ3" s="2383"/>
      <c r="AR3" s="2383"/>
      <c r="AS3" s="2383"/>
      <c r="AT3" s="2383"/>
      <c r="AU3" s="2383"/>
      <c r="AV3" s="2383"/>
      <c r="AW3" s="2383"/>
      <c r="AX3" s="2383"/>
      <c r="AY3" s="2383"/>
      <c r="AZ3" s="2383"/>
      <c r="BA3" s="2383"/>
      <c r="BB3" s="2384"/>
      <c r="BC3" s="1484" t="s">
        <v>504</v>
      </c>
      <c r="BE3" s="722"/>
      <c r="BF3" s="722" t="str">
        <f>IF(T3="","",T3)</f>
        <v>Территория действия тарифа</v>
      </c>
      <c r="BG3" s="722"/>
      <c r="BH3" s="722"/>
    </row>
    <row customHeight="1" ht="42" hidden="1">
      <c r="A4" s="1590"/>
      <c r="B4" s="1590"/>
      <c r="C4" s="1590"/>
      <c r="D4" s="1590"/>
      <c r="E4" s="2389"/>
      <c r="F4" s="2389"/>
      <c r="G4" s="2388">
        <v>1</v>
      </c>
      <c r="H4" s="1590"/>
      <c r="I4" s="1590"/>
      <c r="J4" s="1590"/>
      <c r="K4" s="1590"/>
      <c r="L4" s="1591"/>
      <c r="M4" s="1592"/>
      <c r="N4" s="1592"/>
      <c r="O4" s="1592"/>
      <c r="P4" s="1639"/>
      <c r="Q4" s="1638"/>
      <c r="R4" s="575"/>
      <c r="S4" s="1692">
        <f>INDEX(PT_DIFFERENTIATION_NUM_CS,MATCH(C4,PT_DIFFERENTIATION_CS_ID,0))</f>
      </c>
      <c r="T4" s="531" t="s">
        <v>585</v>
      </c>
      <c r="U4" s="522"/>
      <c r="V4" s="2383"/>
      <c r="W4" s="2383"/>
      <c r="X4" s="2383"/>
      <c r="Y4" s="2383"/>
      <c r="Z4" s="2383"/>
      <c r="AA4" s="2383"/>
      <c r="AB4" s="2383"/>
      <c r="AC4" s="2384"/>
      <c r="AD4" s="2382">
        <f>INDEX(PT_DIFFERENTIATION_CS,MATCH(C4,PT_DIFFERENTIATION_CS_ID,0))</f>
      </c>
      <c r="AE4" s="2383"/>
      <c r="AF4" s="2383"/>
      <c r="AG4" s="2383"/>
      <c r="AH4" s="2383"/>
      <c r="AI4" s="2383"/>
      <c r="AJ4" s="2383"/>
      <c r="AK4" s="2383"/>
      <c r="AL4" s="2383"/>
      <c r="AM4" s="2383"/>
      <c r="AN4" s="2383"/>
      <c r="AO4" s="2383"/>
      <c r="AP4" s="2383"/>
      <c r="AQ4" s="2383"/>
      <c r="AR4" s="2383"/>
      <c r="AS4" s="2383"/>
      <c r="AT4" s="2383"/>
      <c r="AU4" s="2383"/>
      <c r="AV4" s="2383"/>
      <c r="AW4" s="2383"/>
      <c r="AX4" s="2383"/>
      <c r="AY4" s="2383"/>
      <c r="AZ4" s="2383"/>
      <c r="BA4" s="2383"/>
      <c r="BB4" s="2384"/>
      <c r="BC4" s="1484" t="s">
        <v>586</v>
      </c>
      <c r="BE4" s="722"/>
      <c r="BF4" s="722" t="str">
        <f>IF(T4="","",T4)</f>
        <v>Наименование централизованной системы холодного водоснабжения</v>
      </c>
      <c r="BG4" s="722"/>
      <c r="BH4" s="722"/>
    </row>
    <row s="16622" customFormat="1" customHeight="1" ht="14.25" hidden="1">
      <c r="A5" s="1570"/>
      <c r="B5" s="1570"/>
      <c r="C5" s="1570"/>
      <c r="D5" s="1570"/>
      <c r="E5" s="2389"/>
      <c r="F5" s="2389"/>
      <c r="G5" s="2389"/>
      <c r="H5" s="2388">
        <v>1</v>
      </c>
      <c r="I5" s="1570"/>
      <c r="J5" s="1570"/>
      <c r="K5" s="1570"/>
      <c r="L5" s="1573"/>
      <c r="M5" s="1542"/>
      <c r="N5" s="1542"/>
      <c r="O5" s="1542"/>
      <c r="P5" s="1724"/>
      <c r="Q5" s="1725"/>
      <c r="R5" s="579"/>
      <c r="S5" s="1265"/>
      <c r="T5" s="1726"/>
      <c r="U5" s="1611"/>
      <c r="V5" s="2431"/>
      <c r="W5" s="2431"/>
      <c r="X5" s="2431"/>
      <c r="Y5" s="2431"/>
      <c r="Z5" s="2431"/>
      <c r="AA5" s="2431"/>
      <c r="AB5" s="2431"/>
      <c r="AC5" s="2432"/>
      <c r="AD5" s="2430"/>
      <c r="AE5" s="2431"/>
      <c r="AF5" s="2431"/>
      <c r="AG5" s="2431"/>
      <c r="AH5" s="2431"/>
      <c r="AI5" s="2431"/>
      <c r="AJ5" s="2431"/>
      <c r="AK5" s="2431"/>
      <c r="AL5" s="2431"/>
      <c r="AM5" s="2431"/>
      <c r="AN5" s="2431"/>
      <c r="AO5" s="2431"/>
      <c r="AP5" s="2431"/>
      <c r="AQ5" s="2431"/>
      <c r="AR5" s="2431"/>
      <c r="AS5" s="2431"/>
      <c r="AT5" s="2431"/>
      <c r="AU5" s="2431"/>
      <c r="AV5" s="2431"/>
      <c r="AW5" s="2431"/>
      <c r="AX5" s="2431"/>
      <c r="AY5" s="2431"/>
      <c r="AZ5" s="2431"/>
      <c r="BA5" s="2431"/>
      <c r="BB5" s="2432"/>
      <c r="BC5" s="1612" t="s">
        <v>508</v>
      </c>
      <c r="BE5" s="722"/>
      <c r="BF5" s="722" t="str">
        <f>IF(T5="","",T5)</f>
        <v/>
      </c>
      <c r="BG5" s="722"/>
      <c r="BH5" s="722"/>
    </row>
    <row s="16622" customFormat="1" customHeight="1" ht="14.25" hidden="1">
      <c r="A6" s="1570"/>
      <c r="B6" s="1570"/>
      <c r="C6" s="1570"/>
      <c r="D6" s="1570"/>
      <c r="E6" s="2389"/>
      <c r="F6" s="2389"/>
      <c r="G6" s="2389"/>
      <c r="H6" s="2389"/>
      <c r="I6" s="2390" t="str">
        <f>S5&amp;".1"</f>
        <v>.1</v>
      </c>
      <c r="J6" s="1570"/>
      <c r="K6" s="1570"/>
      <c r="L6" s="1573" t="s">
        <v>509</v>
      </c>
      <c r="M6" s="732"/>
      <c r="N6" s="732"/>
      <c r="O6" s="732"/>
      <c r="P6" s="2392">
        <v>1</v>
      </c>
      <c r="Q6" s="1689"/>
      <c r="R6" s="578"/>
      <c r="S6" s="1265"/>
      <c r="T6" s="1610"/>
      <c r="U6" s="1611"/>
      <c r="V6" s="2431"/>
      <c r="W6" s="2431"/>
      <c r="X6" s="2431"/>
      <c r="Y6" s="2431"/>
      <c r="Z6" s="2431"/>
      <c r="AA6" s="2431"/>
      <c r="AB6" s="2431"/>
      <c r="AC6" s="2432"/>
      <c r="AD6" s="2430"/>
      <c r="AE6" s="2431"/>
      <c r="AF6" s="2431"/>
      <c r="AG6" s="2431"/>
      <c r="AH6" s="2431"/>
      <c r="AI6" s="2431"/>
      <c r="AJ6" s="2431"/>
      <c r="AK6" s="2431"/>
      <c r="AL6" s="2431"/>
      <c r="AM6" s="2431"/>
      <c r="AN6" s="2431"/>
      <c r="AO6" s="2431"/>
      <c r="AP6" s="2431"/>
      <c r="AQ6" s="2431"/>
      <c r="AR6" s="2431"/>
      <c r="AS6" s="2431"/>
      <c r="AT6" s="2431"/>
      <c r="AU6" s="2431"/>
      <c r="AV6" s="2431"/>
      <c r="AW6" s="2431"/>
      <c r="AX6" s="2431"/>
      <c r="AY6" s="2431"/>
      <c r="AZ6" s="2431"/>
      <c r="BA6" s="2431"/>
      <c r="BB6" s="2432"/>
      <c r="BC6" s="1612"/>
      <c r="BE6" s="722"/>
      <c r="BF6" s="722" t="str">
        <f>IF(T6="","",T6)</f>
        <v/>
      </c>
      <c r="BG6" s="722"/>
      <c r="BH6" s="722"/>
    </row>
    <row s="16622" customFormat="1" customHeight="1" ht="14.25" hidden="1">
      <c r="A7" s="1570"/>
      <c r="B7" s="1570"/>
      <c r="C7" s="1570"/>
      <c r="D7" s="1570"/>
      <c r="E7" s="2389"/>
      <c r="F7" s="2389"/>
      <c r="G7" s="2389"/>
      <c r="H7" s="2389"/>
      <c r="I7" s="2391"/>
      <c r="J7" s="2390" t="str">
        <f>S5&amp;".1"</f>
        <v>.1</v>
      </c>
      <c r="K7" s="1570"/>
      <c r="L7" s="1573"/>
      <c r="M7" s="732"/>
      <c r="N7" s="732"/>
      <c r="O7" s="732"/>
      <c r="P7" s="2392"/>
      <c r="Q7" s="2392">
        <v>1</v>
      </c>
      <c r="R7" s="579"/>
      <c r="S7" s="1265"/>
      <c r="T7" s="1626"/>
      <c r="U7" s="1611"/>
      <c r="V7" s="2431"/>
      <c r="W7" s="2431"/>
      <c r="X7" s="2431"/>
      <c r="Y7" s="2431"/>
      <c r="Z7" s="2431"/>
      <c r="AA7" s="2431"/>
      <c r="AB7" s="2431"/>
      <c r="AC7" s="2432"/>
      <c r="AD7" s="2430"/>
      <c r="AE7" s="2431"/>
      <c r="AF7" s="2431"/>
      <c r="AG7" s="2431"/>
      <c r="AH7" s="2431"/>
      <c r="AI7" s="2431"/>
      <c r="AJ7" s="2431"/>
      <c r="AK7" s="2431"/>
      <c r="AL7" s="2431"/>
      <c r="AM7" s="2431"/>
      <c r="AN7" s="2431"/>
      <c r="AO7" s="2431"/>
      <c r="AP7" s="2431"/>
      <c r="AQ7" s="2431"/>
      <c r="AR7" s="2431"/>
      <c r="AS7" s="2431"/>
      <c r="AT7" s="2431"/>
      <c r="AU7" s="2431"/>
      <c r="AV7" s="2431"/>
      <c r="AW7" s="2431"/>
      <c r="AX7" s="2431"/>
      <c r="AY7" s="2431"/>
      <c r="AZ7" s="2431"/>
      <c r="BA7" s="2431"/>
      <c r="BB7" s="2432"/>
      <c r="BC7" s="1612"/>
      <c r="BE7" s="722"/>
      <c r="BF7" s="722" t="str">
        <f>IF(T7="","",T7)</f>
        <v/>
      </c>
      <c r="BG7" s="722"/>
      <c r="BH7" s="722"/>
    </row>
    <row customHeight="1" ht="11.25" hidden="1">
      <c r="A8" s="1590"/>
      <c r="B8" s="1590"/>
      <c r="C8" s="1590"/>
      <c r="D8" s="1590"/>
      <c r="E8" s="2389"/>
      <c r="F8" s="2389"/>
      <c r="G8" s="2389"/>
      <c r="H8" s="2389"/>
      <c r="I8" s="2391"/>
      <c r="J8" s="2391"/>
      <c r="K8" s="2390">
        <f>S4&amp;".1"</f>
      </c>
      <c r="L8" s="1591"/>
      <c r="P8" s="2392"/>
      <c r="Q8" s="2392"/>
      <c r="R8" s="2468">
        <v>1</v>
      </c>
      <c r="S8" s="2465">
        <f>$K8</f>
      </c>
      <c r="T8" s="2485"/>
      <c r="U8" s="522"/>
      <c r="V8" s="973"/>
      <c r="W8" s="1483"/>
      <c r="X8" s="973"/>
      <c r="Y8" s="1483"/>
      <c r="Z8" s="1961"/>
      <c r="AA8" s="1686" t="s">
        <v>63</v>
      </c>
      <c r="AB8" s="1961"/>
      <c r="AC8" s="1686" t="s">
        <v>63</v>
      </c>
      <c r="AD8" s="2326" t="s">
        <v>63</v>
      </c>
      <c r="AE8" s="2461"/>
      <c r="AF8" s="2339">
        <v>1</v>
      </c>
      <c r="AG8" s="2484"/>
      <c r="AH8" s="2263" t="s">
        <v>63</v>
      </c>
      <c r="AI8" s="2461"/>
      <c r="AJ8" s="2339">
        <v>1</v>
      </c>
      <c r="AK8" s="2483" t="s">
        <v>24</v>
      </c>
      <c r="AL8" s="2263" t="s">
        <v>63</v>
      </c>
      <c r="AM8" s="2311"/>
      <c r="AN8" s="2339">
        <v>1</v>
      </c>
      <c r="AO8" s="2488"/>
      <c r="AP8" s="2489" t="s">
        <v>63</v>
      </c>
      <c r="AQ8" s="533"/>
      <c r="AR8" s="1690">
        <v>1</v>
      </c>
      <c r="AS8" s="1693" t="s">
        <v>24</v>
      </c>
      <c r="AT8" s="973"/>
      <c r="AU8" s="1483"/>
      <c r="AV8" s="973"/>
      <c r="AW8" s="1483"/>
      <c r="AX8" s="1961"/>
      <c r="AY8" s="1686" t="s">
        <v>63</v>
      </c>
      <c r="AZ8" s="1961"/>
      <c r="BA8" s="1686" t="s">
        <v>63</v>
      </c>
      <c r="BB8" s="1575"/>
      <c r="BC8" s="2418" t="s">
        <v>605</v>
      </c>
      <c r="BE8" s="722"/>
      <c r="BF8" s="722" t="str">
        <f>IF(T8="","",T8)</f>
        <v/>
      </c>
      <c r="BG8" s="722"/>
      <c r="BH8" s="722"/>
    </row>
    <row customHeight="1" ht="11.25" hidden="1">
      <c r="A9" s="1590"/>
      <c r="B9" s="1590"/>
      <c r="C9" s="1590"/>
      <c r="D9" s="1590"/>
      <c r="E9" s="2389"/>
      <c r="F9" s="2389"/>
      <c r="G9" s="2389"/>
      <c r="H9" s="2389"/>
      <c r="I9" s="2391"/>
      <c r="J9" s="2391"/>
      <c r="K9" s="2390"/>
      <c r="L9" s="1591"/>
      <c r="P9" s="2392"/>
      <c r="Q9" s="2392"/>
      <c r="R9" s="2468"/>
      <c r="S9" s="2466"/>
      <c r="T9" s="2486"/>
      <c r="U9" s="522"/>
      <c r="V9" s="1620"/>
      <c r="W9" s="1723"/>
      <c r="X9" s="1620"/>
      <c r="Y9" s="1723"/>
      <c r="Z9" s="1620"/>
      <c r="AA9" s="1620"/>
      <c r="AB9" s="1620"/>
      <c r="AC9" s="1620"/>
      <c r="AD9" s="2327"/>
      <c r="AE9" s="2461"/>
      <c r="AF9" s="2339"/>
      <c r="AG9" s="2484"/>
      <c r="AH9" s="2263"/>
      <c r="AI9" s="2461"/>
      <c r="AJ9" s="2339"/>
      <c r="AK9" s="2483"/>
      <c r="AL9" s="2263"/>
      <c r="AM9" s="2319"/>
      <c r="AN9" s="2339"/>
      <c r="AO9" s="2488"/>
      <c r="AP9" s="2490"/>
      <c r="AQ9" s="538"/>
      <c r="AR9" s="638"/>
      <c r="AS9" s="638" t="s">
        <v>606</v>
      </c>
      <c r="AT9" s="1620"/>
      <c r="AU9" s="1723"/>
      <c r="AV9" s="1620"/>
      <c r="AW9" s="1723"/>
      <c r="AX9" s="1620"/>
      <c r="AY9" s="1620"/>
      <c r="AZ9" s="1620"/>
      <c r="BA9" s="1620"/>
      <c r="BB9" s="1624"/>
      <c r="BC9" s="2419"/>
      <c r="BE9" s="722"/>
      <c r="BF9" s="722"/>
      <c r="BG9" s="722"/>
      <c r="BH9" s="722"/>
    </row>
    <row customHeight="1" ht="11.25" hidden="1">
      <c r="A10" s="1590"/>
      <c r="B10" s="1590"/>
      <c r="C10" s="1590"/>
      <c r="D10" s="1590"/>
      <c r="E10" s="2389"/>
      <c r="F10" s="2389"/>
      <c r="G10" s="2389"/>
      <c r="H10" s="2389"/>
      <c r="I10" s="2391"/>
      <c r="J10" s="2391"/>
      <c r="K10" s="2390"/>
      <c r="L10" s="1591"/>
      <c r="P10" s="2392"/>
      <c r="Q10" s="2392"/>
      <c r="R10" s="2468"/>
      <c r="S10" s="2466"/>
      <c r="T10" s="2486"/>
      <c r="U10" s="522"/>
      <c r="V10" s="1620"/>
      <c r="W10" s="1723"/>
      <c r="X10" s="1620"/>
      <c r="Y10" s="1723"/>
      <c r="Z10" s="1620"/>
      <c r="AA10" s="1620"/>
      <c r="AB10" s="1620"/>
      <c r="AC10" s="1620"/>
      <c r="AD10" s="2327"/>
      <c r="AE10" s="2461"/>
      <c r="AF10" s="2339"/>
      <c r="AG10" s="2484"/>
      <c r="AH10" s="2263"/>
      <c r="AI10" s="2461"/>
      <c r="AJ10" s="2339"/>
      <c r="AK10" s="2483"/>
      <c r="AL10" s="2263"/>
      <c r="AM10" s="538"/>
      <c r="AN10" s="1727"/>
      <c r="AO10" s="1727" t="s">
        <v>607</v>
      </c>
      <c r="AP10" s="638"/>
      <c r="AQ10" s="638"/>
      <c r="AR10" s="638"/>
      <c r="AS10" s="1620"/>
      <c r="AT10" s="1620"/>
      <c r="AU10" s="1723"/>
      <c r="AV10" s="1620"/>
      <c r="AW10" s="1723"/>
      <c r="AX10" s="1620"/>
      <c r="AY10" s="1620"/>
      <c r="AZ10" s="1620"/>
      <c r="BA10" s="1620"/>
      <c r="BB10" s="1624"/>
      <c r="BC10" s="2419"/>
      <c r="BE10" s="722"/>
      <c r="BF10" s="722"/>
      <c r="BG10" s="722"/>
      <c r="BH10" s="722"/>
    </row>
    <row customHeight="1" ht="11.25" hidden="1">
      <c r="A11" s="1590"/>
      <c r="B11" s="1590"/>
      <c r="C11" s="1590"/>
      <c r="D11" s="1590"/>
      <c r="E11" s="2389"/>
      <c r="F11" s="2389"/>
      <c r="G11" s="2389"/>
      <c r="H11" s="2389"/>
      <c r="I11" s="2391"/>
      <c r="J11" s="2391"/>
      <c r="K11" s="2390"/>
      <c r="L11" s="1591"/>
      <c r="P11" s="2392"/>
      <c r="Q11" s="2392"/>
      <c r="R11" s="2468"/>
      <c r="S11" s="2466"/>
      <c r="T11" s="2486"/>
      <c r="U11" s="522"/>
      <c r="V11" s="1620"/>
      <c r="W11" s="1723"/>
      <c r="X11" s="1620"/>
      <c r="Y11" s="1723"/>
      <c r="Z11" s="1620"/>
      <c r="AA11" s="1620"/>
      <c r="AB11" s="1620"/>
      <c r="AC11" s="1620"/>
      <c r="AD11" s="2327"/>
      <c r="AE11" s="2461"/>
      <c r="AF11" s="2339"/>
      <c r="AG11" s="2484"/>
      <c r="AH11" s="2263"/>
      <c r="AI11" s="516"/>
      <c r="AJ11" s="637"/>
      <c r="AK11" s="535" t="s">
        <v>608</v>
      </c>
      <c r="AL11" s="1620"/>
      <c r="AM11" s="1620"/>
      <c r="AN11" s="1620"/>
      <c r="AO11" s="1620"/>
      <c r="AP11" s="1620"/>
      <c r="AQ11" s="1620"/>
      <c r="AR11" s="1620"/>
      <c r="AS11" s="1620"/>
      <c r="AT11" s="1620"/>
      <c r="AU11" s="1723"/>
      <c r="AV11" s="1620"/>
      <c r="AW11" s="1723"/>
      <c r="AX11" s="1620"/>
      <c r="AY11" s="1620"/>
      <c r="AZ11" s="1620"/>
      <c r="BA11" s="1620"/>
      <c r="BB11" s="1624"/>
      <c r="BC11" s="2419"/>
      <c r="BE11" s="722"/>
      <c r="BF11" s="722"/>
      <c r="BG11" s="722"/>
      <c r="BH11" s="722"/>
    </row>
    <row customHeight="1" ht="11.25" hidden="1">
      <c r="A12" s="1590"/>
      <c r="B12" s="1590"/>
      <c r="C12" s="1590"/>
      <c r="D12" s="1590"/>
      <c r="E12" s="2389"/>
      <c r="F12" s="2389"/>
      <c r="G12" s="2389"/>
      <c r="H12" s="2389"/>
      <c r="I12" s="2391"/>
      <c r="J12" s="2391"/>
      <c r="K12" s="2390"/>
      <c r="L12" s="1591"/>
      <c r="P12" s="2392"/>
      <c r="Q12" s="2392"/>
      <c r="R12" s="2468"/>
      <c r="S12" s="2467"/>
      <c r="T12" s="2487"/>
      <c r="U12" s="522"/>
      <c r="V12" s="1620"/>
      <c r="W12" s="1621" t="str">
        <f>Z8&amp;"-"&amp;AB8</f>
        <v>-</v>
      </c>
      <c r="X12" s="1620"/>
      <c r="Y12" s="1621" t="str">
        <f>AB8&amp;"-"&amp;AD8</f>
        <v>-да</v>
      </c>
      <c r="Z12" s="1620"/>
      <c r="AA12" s="1620"/>
      <c r="AB12" s="1620"/>
      <c r="AC12" s="1620"/>
      <c r="AD12" s="2268"/>
      <c r="AE12" s="534"/>
      <c r="AF12" s="536"/>
      <c r="AG12" s="638" t="s">
        <v>609</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19"/>
      <c r="BE12" s="722"/>
      <c r="BF12" s="722" t="str">
        <f>IF(T12="","",T12)</f>
        <v/>
      </c>
      <c r="BG12" s="722"/>
      <c r="BH12" s="722"/>
    </row>
    <row customHeight="1" ht="11.25" hidden="1">
      <c r="A13" s="1590"/>
      <c r="B13" s="1590"/>
      <c r="C13" s="1590"/>
      <c r="D13" s="1590"/>
      <c r="E13" s="2389"/>
      <c r="F13" s="2389"/>
      <c r="G13" s="2389"/>
      <c r="H13" s="2389"/>
      <c r="I13" s="2391"/>
      <c r="J13" s="2390"/>
      <c r="K13" s="1590"/>
      <c r="L13" s="1591"/>
      <c r="P13" s="2392"/>
      <c r="Q13" s="2392"/>
      <c r="R13" s="578"/>
      <c r="S13" s="1505"/>
      <c r="T13" s="509" t="s">
        <v>571</v>
      </c>
      <c r="U13" s="589"/>
      <c r="V13" s="589"/>
      <c r="W13" s="589"/>
      <c r="X13" s="589"/>
      <c r="Y13" s="589"/>
      <c r="Z13" s="589"/>
      <c r="AA13" s="589"/>
      <c r="AB13" s="589"/>
      <c r="AC13" s="589"/>
      <c r="AD13" s="1732"/>
      <c r="AE13" s="589"/>
      <c r="AF13" s="589"/>
      <c r="AG13" s="589"/>
      <c r="AH13" s="589"/>
      <c r="AI13" s="589"/>
      <c r="AJ13" s="589"/>
      <c r="AK13" s="589"/>
      <c r="AL13" s="589"/>
      <c r="AM13" s="589"/>
      <c r="AN13" s="589"/>
      <c r="AO13" s="589"/>
      <c r="AP13" s="589"/>
      <c r="AQ13" s="589"/>
      <c r="AR13" s="589"/>
      <c r="AS13" s="589"/>
      <c r="AT13" s="589"/>
      <c r="AU13" s="589"/>
      <c r="AV13" s="589"/>
      <c r="AW13" s="589"/>
      <c r="AX13" s="589"/>
      <c r="AY13" s="589"/>
      <c r="AZ13" s="589"/>
      <c r="BA13" s="589"/>
      <c r="BB13" s="546"/>
      <c r="BC13" s="2420"/>
      <c r="BE13" s="722"/>
      <c r="BF13" s="722" t="str">
        <f>IF(T13="","",T13)</f>
        <v>Добавить строку</v>
      </c>
      <c r="BG13" s="722"/>
      <c r="BH13" s="722"/>
    </row>
    <row s="16622" customFormat="1" customHeight="1" ht="14.25" hidden="1">
      <c r="A14" s="1570"/>
      <c r="B14" s="1570"/>
      <c r="C14" s="1570"/>
      <c r="D14" s="1570"/>
      <c r="E14" s="2389"/>
      <c r="F14" s="2389"/>
      <c r="G14" s="2389"/>
      <c r="H14" s="2389"/>
      <c r="I14" s="2390"/>
      <c r="J14" s="1570"/>
      <c r="K14" s="1570"/>
      <c r="L14" s="1573"/>
      <c r="M14" s="732"/>
      <c r="N14" s="732"/>
      <c r="O14" s="732"/>
      <c r="P14" s="2392"/>
      <c r="Q14" s="1689"/>
      <c r="R14" s="578"/>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2"/>
      <c r="BF14" s="722" t="str">
        <f>IF(T14="","",T14)</f>
        <v/>
      </c>
      <c r="BG14" s="722"/>
      <c r="BH14" s="722"/>
    </row>
    <row s="16622" customFormat="1" customHeight="1" ht="14.25" hidden="1">
      <c r="A15" s="1570"/>
      <c r="B15" s="1570"/>
      <c r="C15" s="1570"/>
      <c r="D15" s="1570"/>
      <c r="E15" s="2389"/>
      <c r="F15" s="2389"/>
      <c r="G15" s="2389"/>
      <c r="H15" s="2388"/>
      <c r="I15" s="1570"/>
      <c r="J15" s="1570"/>
      <c r="K15" s="1570"/>
      <c r="L15" s="1573"/>
      <c r="M15" s="1542"/>
      <c r="N15" s="1542"/>
      <c r="O15" s="740"/>
      <c r="P15" s="602"/>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2"/>
      <c r="BF15" s="722" t="str">
        <f>IF(T15="","",T15)</f>
        <v/>
      </c>
      <c r="BG15" s="722"/>
      <c r="BH15" s="722"/>
    </row>
    <row s="16531" customFormat="1" customHeight="1" ht="14.25" hidden="1">
      <c r="A16" s="1570"/>
      <c r="B16" s="1570"/>
      <c r="C16" s="1570"/>
      <c r="D16" s="1541"/>
      <c r="E16" s="2389"/>
      <c r="F16" s="2389"/>
      <c r="G16" s="2388"/>
      <c r="H16" s="1541"/>
      <c r="I16" s="1541"/>
      <c r="J16" s="1541"/>
      <c r="K16" s="1541"/>
      <c r="L16" s="169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1"/>
      <c r="BF16" s="1011" t="str">
        <f>IF(T16="","",T16)</f>
        <v/>
      </c>
      <c r="BG16" s="1011"/>
      <c r="BH16" s="1011"/>
    </row>
    <row s="16531" customFormat="1" customHeight="1" ht="14.25" hidden="1">
      <c r="A17" s="1570"/>
      <c r="B17" s="1570"/>
      <c r="C17" s="1541"/>
      <c r="D17" s="1541"/>
      <c r="E17" s="2389"/>
      <c r="F17" s="2388"/>
      <c r="G17" s="1541"/>
      <c r="H17" s="1541"/>
      <c r="I17" s="1541"/>
      <c r="J17" s="1541"/>
      <c r="K17" s="1541"/>
      <c r="L17" s="1691"/>
      <c r="M17" s="1548"/>
      <c r="N17" s="1548"/>
      <c r="P17" s="1543"/>
      <c r="Q17" s="1544"/>
      <c r="R17" s="1543"/>
      <c r="S17" s="1549"/>
      <c r="T17" s="1552" t="s">
        <v>305</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1"/>
      <c r="BF17" s="1011" t="str">
        <f>IF(T17="","",T17)</f>
        <v>Добавить централизованную систему для дифференциации</v>
      </c>
      <c r="BG17" s="1011"/>
      <c r="BH17" s="1011"/>
    </row>
    <row s="16622" customFormat="1" customHeight="1" ht="14.25" hidden="1">
      <c r="A18" s="1570"/>
      <c r="B18" s="1570"/>
      <c r="C18" s="1570"/>
      <c r="D18" s="1570"/>
      <c r="E18" s="2388"/>
      <c r="F18" s="1570"/>
      <c r="G18" s="1570"/>
      <c r="H18" s="1570"/>
      <c r="I18" s="1570"/>
      <c r="J18" s="1570"/>
      <c r="K18" s="1570"/>
      <c r="L18" s="1573"/>
      <c r="M18" s="1548"/>
      <c r="N18" s="1548"/>
      <c r="O18" s="740"/>
      <c r="P18" s="602"/>
      <c r="Q18" s="1571"/>
      <c r="R18" s="602"/>
      <c r="S18" s="1549"/>
      <c r="T18" s="1552" t="s">
        <v>358</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2"/>
      <c r="BF18" s="722" t="str">
        <f>IF(T18="","",T18)</f>
        <v>Добавить территорию для дифференциации</v>
      </c>
      <c r="BG18" s="722"/>
      <c r="BH18" s="722"/>
    </row>
    <row customHeight="1" ht="14.25" hidden="1">
      <c r="AC19" s="549"/>
      <c r="BA19" s="549"/>
    </row>
    <row customHeight="1" ht="14.25" hidden="1">
      <c r="AD20" s="1551" t="s">
        <v>53</v>
      </c>
      <c r="AE20" s="1728"/>
      <c r="AF20" s="770">
        <v>1</v>
      </c>
      <c r="AG20" s="1729"/>
      <c r="AH20" s="1551" t="s">
        <v>53</v>
      </c>
      <c r="AI20" s="1728"/>
      <c r="AJ20" s="770">
        <v>1</v>
      </c>
      <c r="AK20" s="1729"/>
      <c r="AL20" s="1551" t="s">
        <v>53</v>
      </c>
      <c r="AM20" s="1730"/>
      <c r="AN20" s="770">
        <v>1</v>
      </c>
      <c r="AO20" s="1731"/>
      <c r="AP20" s="1551" t="s">
        <v>53</v>
      </c>
      <c r="AQ20" s="1730"/>
      <c r="AR20" s="770">
        <v>1</v>
      </c>
      <c r="AS20" s="1731"/>
      <c r="AT20" s="547"/>
      <c r="AU20" s="606"/>
      <c r="AV20" s="547"/>
      <c r="AW20" s="606"/>
      <c r="AX20" s="1963"/>
      <c r="AY20" s="1687" t="s">
        <v>63</v>
      </c>
      <c r="AZ20" s="1963"/>
      <c r="BA20" s="1687" t="s">
        <v>63</v>
      </c>
    </row>
    <row customHeight="1" ht="14.25" hidden="1">
      <c r="BD21" s="718"/>
      <c r="BE21" s="718"/>
      <c r="BF21" s="718"/>
      <c r="BG21" s="718"/>
      <c r="BH21" s="718"/>
    </row>
    <row customHeight="1" ht="14.25" hidden="1">
      <c r="O22" s="1594" t="s">
        <v>521</v>
      </c>
      <c r="Z22" s="1572"/>
      <c r="AB22" s="1572"/>
      <c r="AC22" s="549"/>
      <c r="AX22" s="1572"/>
      <c r="AZ22" s="1572"/>
      <c r="BA22" s="549"/>
      <c r="BD22" s="718"/>
      <c r="BE22" s="718"/>
      <c r="BF22" s="718"/>
      <c r="BG22" s="718"/>
      <c r="BH22" s="718"/>
    </row>
    <row customHeight="1" ht="14.25" hidden="1">
      <c r="AC23" s="549"/>
      <c r="BA23" s="549"/>
      <c r="BD23" s="718"/>
      <c r="BE23" s="718"/>
      <c r="BF23" s="718"/>
      <c r="BG23" s="718"/>
      <c r="BH23" s="718"/>
    </row>
    <row s="16777" customFormat="1" customHeight="1" ht="14.25" hidden="1">
      <c r="M24" s="1735"/>
      <c r="N24" s="1735"/>
      <c r="O24" s="1736" t="s">
        <v>522</v>
      </c>
      <c r="P24" s="1735"/>
      <c r="Q24" s="1737"/>
      <c r="R24" s="1737"/>
      <c r="AA24" s="1734" t="s">
        <v>524</v>
      </c>
      <c r="AC24" s="1734" t="s">
        <v>525</v>
      </c>
      <c r="AD24" s="1734" t="s">
        <v>572</v>
      </c>
      <c r="AH24" s="1734" t="s">
        <v>572</v>
      </c>
      <c r="AK24" s="1734" t="s">
        <v>610</v>
      </c>
      <c r="AL24" s="1734" t="s">
        <v>572</v>
      </c>
      <c r="AP24" s="1734" t="s">
        <v>572</v>
      </c>
      <c r="AY24" s="1734" t="s">
        <v>524</v>
      </c>
      <c r="BA24" s="1734" t="s">
        <v>525</v>
      </c>
      <c r="BD24" s="1738"/>
      <c r="BE24" s="1738"/>
      <c r="BF24" s="1738"/>
      <c r="BG24" s="1738"/>
      <c r="BH24" s="1738"/>
    </row>
    <row customHeight="1" ht="14.25" hidden="1">
      <c r="O25" s="1591"/>
      <c r="BD25" s="718"/>
      <c r="BE25" s="718"/>
      <c r="BF25" s="718"/>
      <c r="BG25" s="718"/>
      <c r="BH25" s="718"/>
    </row>
    <row customHeight="1" ht="14.25" hidden="1">
      <c r="O26" s="1591"/>
      <c r="BD26" s="718"/>
      <c r="BE26" s="718"/>
      <c r="BF26" s="718"/>
      <c r="BG26" s="718"/>
      <c r="BH26" s="718"/>
    </row>
    <row customHeight="1" ht="14.25">
      <c r="Q27" s="513"/>
      <c r="R27" s="598"/>
      <c r="S27" s="1502"/>
      <c r="T27" s="585"/>
      <c r="U27" s="585"/>
      <c r="V27" s="731"/>
      <c r="W27" s="731"/>
      <c r="X27" s="731"/>
      <c r="Y27" s="731"/>
      <c r="Z27" s="731"/>
      <c r="AA27" s="731"/>
      <c r="AB27" s="731"/>
      <c r="AC27" s="731"/>
      <c r="AD27" s="731"/>
      <c r="AE27" s="731"/>
      <c r="AF27" s="731"/>
      <c r="AG27" s="731"/>
      <c r="AH27" s="731"/>
      <c r="AI27" s="731"/>
      <c r="AJ27" s="731"/>
      <c r="AK27" s="731"/>
      <c r="AL27" s="731"/>
      <c r="AM27" s="731"/>
      <c r="AN27" s="731"/>
      <c r="AO27" s="731"/>
      <c r="AP27" s="731"/>
      <c r="AQ27" s="731"/>
      <c r="AR27" s="731"/>
      <c r="AS27" s="731"/>
      <c r="AT27" s="731"/>
      <c r="AU27" s="731"/>
      <c r="AV27" s="731"/>
      <c r="AW27" s="731"/>
      <c r="AX27" s="731"/>
      <c r="AY27" s="731"/>
      <c r="AZ27" s="731"/>
      <c r="BA27" s="731"/>
    </row>
    <row customHeight="1" ht="14.25">
      <c r="Q28" s="513"/>
      <c r="R28" s="598"/>
      <c r="S28" s="242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21"/>
      <c r="U28" s="2421"/>
      <c r="V28" s="2421"/>
      <c r="W28" s="2421"/>
      <c r="X28" s="2421"/>
      <c r="Y28" s="2421"/>
      <c r="Z28" s="2421"/>
      <c r="AA28" s="2421"/>
      <c r="AB28" s="2421"/>
      <c r="AC28" s="2421"/>
      <c r="AD28" s="2421"/>
      <c r="AE28" s="2421"/>
      <c r="AF28" s="2421"/>
      <c r="AG28" s="2421"/>
      <c r="AH28" s="2421"/>
      <c r="AI28" s="2421"/>
      <c r="AJ28" s="2421"/>
      <c r="AK28" s="2421"/>
      <c r="AL28" s="2421"/>
      <c r="AM28" s="2421"/>
      <c r="AN28" s="2421"/>
      <c r="AO28" s="2421"/>
      <c r="AP28" s="2421"/>
      <c r="AQ28" s="2421"/>
      <c r="AR28" s="2421"/>
      <c r="AS28" s="2421"/>
      <c r="AT28" s="2421"/>
      <c r="AU28" s="2421"/>
      <c r="AV28" s="2421"/>
      <c r="AW28" s="2421"/>
      <c r="AX28" s="2421"/>
      <c r="AY28" s="2421"/>
      <c r="AZ28" s="2421"/>
      <c r="BA28" s="1469"/>
    </row>
    <row customHeight="1" ht="14.25">
      <c r="Q29" s="513"/>
      <c r="R29" s="598"/>
      <c r="S29" s="2422" t="str">
        <f>IF(org=0,"Не определено",org)</f>
        <v>КГУП "Примтеплоэнерго"</v>
      </c>
      <c r="T29" s="2422"/>
      <c r="U29" s="2422"/>
      <c r="V29" s="2422"/>
      <c r="W29" s="2422"/>
      <c r="X29" s="2422"/>
      <c r="Y29" s="2422"/>
      <c r="Z29" s="2422"/>
      <c r="AA29" s="2422"/>
      <c r="AB29" s="2422"/>
      <c r="AC29" s="2422"/>
      <c r="AD29" s="2422"/>
      <c r="AE29" s="2422"/>
      <c r="AF29" s="2422"/>
      <c r="AG29" s="2422"/>
      <c r="AH29" s="2422"/>
      <c r="AI29" s="2422"/>
      <c r="AJ29" s="2422"/>
      <c r="AK29" s="2422"/>
      <c r="AL29" s="2422"/>
      <c r="AM29" s="2422"/>
      <c r="AN29" s="2422"/>
      <c r="AO29" s="2422"/>
      <c r="AP29" s="2422"/>
      <c r="AQ29" s="2422"/>
      <c r="AR29" s="2422"/>
      <c r="AS29" s="2422"/>
      <c r="AT29" s="2422"/>
      <c r="AU29" s="2422"/>
      <c r="AV29" s="2422"/>
      <c r="AW29" s="2422"/>
      <c r="AX29" s="2422"/>
      <c r="AY29" s="2422"/>
      <c r="AZ29" s="2422"/>
      <c r="BA29" s="1469"/>
    </row>
    <row customHeight="1" ht="14.25" hidden="1">
      <c r="Q30" s="513"/>
      <c r="R30" s="598"/>
      <c r="S30" s="1502"/>
      <c r="T30" s="585"/>
      <c r="U30" s="585"/>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731"/>
    </row>
    <row s="16563" customFormat="1" customHeight="1" ht="25.5" hidden="1">
      <c r="A31" s="1595"/>
      <c r="B31" s="1595"/>
      <c r="C31" s="1595"/>
      <c r="D31" s="1595"/>
      <c r="E31" s="1595"/>
      <c r="F31" s="1595"/>
      <c r="G31" s="1595"/>
      <c r="H31" s="1595"/>
      <c r="I31" s="1595"/>
      <c r="J31" s="1595"/>
      <c r="K31" s="1595"/>
      <c r="L31" s="1596"/>
      <c r="M31" s="1595"/>
      <c r="N31" s="1595"/>
      <c r="O31" s="1595"/>
      <c r="P31" s="1595"/>
      <c r="Q31" s="1595"/>
      <c r="S31" s="2379" t="s">
        <v>38</v>
      </c>
      <c r="T31" s="2379"/>
      <c r="U31" s="1599"/>
      <c r="V31" s="2381" t="str">
        <f>IF(TITLE_NAME_OR_PR_CHANGE="",IF(TITLE_NAME_OR_PR="","",TITLE_NAME_OR_PR),TITLE_NAME_OR_PR_CHANGE)</f>
        <v/>
      </c>
      <c r="W31" s="2381"/>
      <c r="X31" s="2381"/>
      <c r="Y31" s="2381"/>
      <c r="Z31" s="2381"/>
      <c r="AA31" s="2381"/>
      <c r="AB31" s="2381"/>
      <c r="AC31" s="548"/>
      <c r="AD31" s="2381" t="str">
        <f>IF(TITLE_NAME_OR_PR_CHANGE="",IF(TITLE_NAME_OR_PR="","",TITLE_NAME_OR_PR),TITLE_NAME_OR_PR_CHANGE)</f>
        <v/>
      </c>
      <c r="AE31" s="2381"/>
      <c r="AF31" s="2381"/>
      <c r="AG31" s="2381"/>
      <c r="AH31" s="2381"/>
      <c r="AI31" s="2381"/>
      <c r="AJ31" s="2381"/>
      <c r="AK31" s="2381"/>
      <c r="AL31" s="2381"/>
      <c r="AM31" s="2381"/>
      <c r="AN31" s="2381"/>
      <c r="AO31" s="2381"/>
      <c r="AP31" s="2381"/>
      <c r="AQ31" s="2381"/>
      <c r="AR31" s="2381"/>
      <c r="AS31" s="2381"/>
      <c r="AT31" s="2381"/>
      <c r="AU31" s="2381"/>
      <c r="AV31" s="2381"/>
      <c r="AW31" s="2381"/>
      <c r="AX31" s="2381"/>
      <c r="AY31" s="2381"/>
      <c r="AZ31" s="2381"/>
      <c r="BA31" s="548"/>
      <c r="BB31" s="548"/>
      <c r="BC31" s="502"/>
      <c r="BD31" s="590"/>
      <c r="BE31" s="590"/>
      <c r="BF31" s="590"/>
      <c r="BG31" s="590"/>
      <c r="BH31" s="590"/>
    </row>
    <row s="16563" customFormat="1" customHeight="1" ht="18.75" hidden="1">
      <c r="A32" s="1595"/>
      <c r="B32" s="1595"/>
      <c r="C32" s="1595"/>
      <c r="D32" s="1595"/>
      <c r="E32" s="1595"/>
      <c r="F32" s="1595"/>
      <c r="G32" s="1595"/>
      <c r="H32" s="1595"/>
      <c r="I32" s="1595"/>
      <c r="J32" s="1595"/>
      <c r="K32" s="1595"/>
      <c r="L32" s="1596"/>
      <c r="M32" s="1595"/>
      <c r="N32" s="1595"/>
      <c r="O32" s="1595"/>
      <c r="P32" s="1595"/>
      <c r="Q32" s="1595"/>
      <c r="S32" s="2379" t="s">
        <v>527</v>
      </c>
      <c r="T32" s="2379"/>
      <c r="U32" s="1599"/>
      <c r="V32" s="2380" t="str">
        <f>IF(TITLE_DATE_PR_CHANGE="",IF(TITLE_DATE_PR="","",TITLE_DATE_PR),TITLE_DATE_PR_CHANGE)</f>
        <v>45407.47206018519</v>
      </c>
      <c r="W32" s="2380"/>
      <c r="X32" s="2380"/>
      <c r="Y32" s="2380"/>
      <c r="Z32" s="2380"/>
      <c r="AA32" s="2380"/>
      <c r="AB32" s="2380"/>
      <c r="AC32" s="548"/>
      <c r="AD32" s="2380" t="str">
        <f>IF(TITLE_DATE_PR_CHANGE="",IF(TITLE_DATE_PR="","",TITLE_DATE_PR),TITLE_DATE_PR_CHANGE)</f>
        <v>45407.47206018519</v>
      </c>
      <c r="AE32" s="2380"/>
      <c r="AF32" s="2380"/>
      <c r="AG32" s="2380"/>
      <c r="AH32" s="2380"/>
      <c r="AI32" s="2380"/>
      <c r="AJ32" s="2380"/>
      <c r="AK32" s="2380"/>
      <c r="AL32" s="2380"/>
      <c r="AM32" s="2380"/>
      <c r="AN32" s="2380"/>
      <c r="AO32" s="2380"/>
      <c r="AP32" s="2380"/>
      <c r="AQ32" s="2380"/>
      <c r="AR32" s="2380"/>
      <c r="AS32" s="2380"/>
      <c r="AT32" s="2380"/>
      <c r="AU32" s="2380"/>
      <c r="AV32" s="2380"/>
      <c r="AW32" s="2380"/>
      <c r="AX32" s="2380"/>
      <c r="AY32" s="2380"/>
      <c r="AZ32" s="2380"/>
      <c r="BA32" s="548"/>
      <c r="BB32" s="548"/>
      <c r="BC32" s="502"/>
      <c r="BD32" s="590"/>
      <c r="BE32" s="590"/>
      <c r="BF32" s="590"/>
      <c r="BG32" s="590"/>
      <c r="BH32" s="590"/>
    </row>
    <row s="16563" customFormat="1" customHeight="1" ht="18.75" hidden="1">
      <c r="A33" s="1595"/>
      <c r="B33" s="1595"/>
      <c r="C33" s="1595"/>
      <c r="D33" s="1595"/>
      <c r="E33" s="1595"/>
      <c r="F33" s="1595"/>
      <c r="G33" s="1595"/>
      <c r="H33" s="1595"/>
      <c r="I33" s="1595"/>
      <c r="J33" s="1595"/>
      <c r="K33" s="1595"/>
      <c r="L33" s="1596"/>
      <c r="M33" s="1595"/>
      <c r="N33" s="1595"/>
      <c r="O33" s="1595"/>
      <c r="P33" s="1595"/>
      <c r="Q33" s="1595"/>
      <c r="S33" s="2379" t="s">
        <v>528</v>
      </c>
      <c r="T33" s="2379"/>
      <c r="U33" s="1599"/>
      <c r="V33" s="2381" t="str">
        <f>IF(TITLE_NUMBER_PR_CHANGE="",IF(TITLE_NUMBER_PR="","",TITLE_NUMBER_PR),TITLE_NUMBER_PR_CHANGE)</f>
        <v>27-2067</v>
      </c>
      <c r="W33" s="2381"/>
      <c r="X33" s="2381"/>
      <c r="Y33" s="2381"/>
      <c r="Z33" s="2381"/>
      <c r="AA33" s="2381"/>
      <c r="AB33" s="2381"/>
      <c r="AC33" s="548"/>
      <c r="AD33" s="2381" t="str">
        <f>IF(TITLE_NUMBER_PR_CHANGE="",IF(TITLE_NUMBER_PR="","",TITLE_NUMBER_PR),TITLE_NUMBER_PR_CHANGE)</f>
        <v>27-2067</v>
      </c>
      <c r="AE33" s="2381"/>
      <c r="AF33" s="2381"/>
      <c r="AG33" s="2381"/>
      <c r="AH33" s="2381"/>
      <c r="AI33" s="2381"/>
      <c r="AJ33" s="2381"/>
      <c r="AK33" s="2381"/>
      <c r="AL33" s="2381"/>
      <c r="AM33" s="2381"/>
      <c r="AN33" s="2381"/>
      <c r="AO33" s="2381"/>
      <c r="AP33" s="2381"/>
      <c r="AQ33" s="2381"/>
      <c r="AR33" s="2381"/>
      <c r="AS33" s="2381"/>
      <c r="AT33" s="2381"/>
      <c r="AU33" s="2381"/>
      <c r="AV33" s="2381"/>
      <c r="AW33" s="2381"/>
      <c r="AX33" s="2381"/>
      <c r="AY33" s="2381"/>
      <c r="AZ33" s="2381"/>
      <c r="BA33" s="548"/>
      <c r="BB33" s="548"/>
      <c r="BC33" s="502"/>
      <c r="BD33" s="590"/>
      <c r="BE33" s="590"/>
      <c r="BF33" s="590"/>
      <c r="BG33" s="590"/>
      <c r="BH33" s="590"/>
    </row>
    <row s="16563" customFormat="1" customHeight="1" ht="18.75" hidden="1">
      <c r="A34" s="1595"/>
      <c r="B34" s="1595"/>
      <c r="C34" s="1595"/>
      <c r="D34" s="1595"/>
      <c r="E34" s="1595"/>
      <c r="F34" s="1595"/>
      <c r="G34" s="1595"/>
      <c r="H34" s="1595"/>
      <c r="I34" s="1595"/>
      <c r="J34" s="1595"/>
      <c r="K34" s="1595"/>
      <c r="L34" s="1596"/>
      <c r="M34" s="1595"/>
      <c r="N34" s="1595"/>
      <c r="O34" s="1595"/>
      <c r="P34" s="1595"/>
      <c r="Q34" s="1595"/>
      <c r="S34" s="2379" t="s">
        <v>39</v>
      </c>
      <c r="T34" s="2379"/>
      <c r="U34" s="1599"/>
      <c r="V34" s="2381" t="str">
        <f>IF(TITLE_IST_PUB_CHANGE="",IF(TITLE_IST_PUB="","",TITLE_IST_PUB),TITLE_IST_PUB_CHANGE)</f>
        <v/>
      </c>
      <c r="W34" s="2381"/>
      <c r="X34" s="2381"/>
      <c r="Y34" s="2381"/>
      <c r="Z34" s="2381"/>
      <c r="AA34" s="2381"/>
      <c r="AB34" s="2381"/>
      <c r="AC34" s="548"/>
      <c r="AD34" s="2381" t="str">
        <f>IF(TITLE_IST_PUB_CHANGE="",IF(TITLE_IST_PUB="","",TITLE_IST_PUB),TITLE_IST_PUB_CHANGE)</f>
        <v/>
      </c>
      <c r="AE34" s="2381"/>
      <c r="AF34" s="2381"/>
      <c r="AG34" s="2381"/>
      <c r="AH34" s="2381"/>
      <c r="AI34" s="2381"/>
      <c r="AJ34" s="2381"/>
      <c r="AK34" s="2381"/>
      <c r="AL34" s="2381"/>
      <c r="AM34" s="2381"/>
      <c r="AN34" s="2381"/>
      <c r="AO34" s="2381"/>
      <c r="AP34" s="2381"/>
      <c r="AQ34" s="2381"/>
      <c r="AR34" s="2381"/>
      <c r="AS34" s="2381"/>
      <c r="AT34" s="2381"/>
      <c r="AU34" s="2381"/>
      <c r="AV34" s="2381"/>
      <c r="AW34" s="2381"/>
      <c r="AX34" s="2381"/>
      <c r="AY34" s="2381"/>
      <c r="AZ34" s="2381"/>
      <c r="BA34" s="548"/>
      <c r="BB34" s="548"/>
      <c r="BC34" s="502"/>
      <c r="BD34" s="590"/>
      <c r="BE34" s="590"/>
      <c r="BF34" s="590"/>
      <c r="BG34" s="590"/>
      <c r="BH34" s="590"/>
    </row>
    <row customHeight="1" ht="14.25">
      <c r="Q35" s="513"/>
      <c r="R35" s="598"/>
      <c r="S35" s="1502"/>
      <c r="T35" s="585"/>
      <c r="U35" s="585"/>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731"/>
    </row>
    <row s="16563" customFormat="1" customHeight="1" ht="18.75">
      <c r="A36" s="1595"/>
      <c r="B36" s="1595"/>
      <c r="C36" s="1595"/>
      <c r="D36" s="1595"/>
      <c r="E36" s="1595"/>
      <c r="F36" s="1595"/>
      <c r="G36" s="1595"/>
      <c r="H36" s="1595"/>
      <c r="I36" s="1595"/>
      <c r="J36" s="1595"/>
      <c r="K36" s="1595"/>
      <c r="L36" s="1596"/>
      <c r="M36" s="1595"/>
      <c r="N36" s="1595"/>
      <c r="O36" s="1595"/>
      <c r="P36" s="1595"/>
      <c r="Q36" s="1595"/>
      <c r="S36" s="2379" t="s">
        <v>527</v>
      </c>
      <c r="T36" s="2379"/>
      <c r="U36" s="1599"/>
      <c r="V36" s="2380" t="str">
        <f>IF(TITLE_DATE_PR_CHANGE="",IF(TITLE_DATE_PR="","",TITLE_DATE_PR),TITLE_DATE_PR_CHANGE)</f>
        <v>45407.47206018519</v>
      </c>
      <c r="W36" s="2380"/>
      <c r="X36" s="2380"/>
      <c r="Y36" s="2380"/>
      <c r="Z36" s="2380"/>
      <c r="AA36" s="2380"/>
      <c r="AB36" s="2380"/>
      <c r="AC36" s="548"/>
      <c r="AD36" s="2380" t="str">
        <f>IF(TITLE_DATE_PR_CHANGE="",IF(TITLE_DATE_PR="","",TITLE_DATE_PR),TITLE_DATE_PR_CHANGE)</f>
        <v>45407.47206018519</v>
      </c>
      <c r="AE36" s="2380"/>
      <c r="AF36" s="2380"/>
      <c r="AG36" s="2380"/>
      <c r="AH36" s="2380"/>
      <c r="AI36" s="2380"/>
      <c r="AJ36" s="2380"/>
      <c r="AK36" s="2380"/>
      <c r="AL36" s="2380"/>
      <c r="AM36" s="2380"/>
      <c r="AN36" s="2380"/>
      <c r="AO36" s="2380"/>
      <c r="AP36" s="2380"/>
      <c r="AQ36" s="2380"/>
      <c r="AR36" s="2380"/>
      <c r="AS36" s="2380"/>
      <c r="AT36" s="2380"/>
      <c r="AU36" s="2380"/>
      <c r="AV36" s="2380"/>
      <c r="AW36" s="2380"/>
      <c r="AX36" s="2380"/>
      <c r="AY36" s="2380"/>
      <c r="AZ36" s="2380"/>
      <c r="BA36" s="548"/>
      <c r="BB36" s="548"/>
      <c r="BC36" s="502"/>
      <c r="BD36" s="590"/>
      <c r="BE36" s="590"/>
      <c r="BF36" s="590"/>
      <c r="BG36" s="590"/>
      <c r="BH36" s="590"/>
    </row>
    <row s="16563" customFormat="1" customHeight="1" ht="18.75">
      <c r="A37" s="1595"/>
      <c r="B37" s="1595"/>
      <c r="C37" s="1595"/>
      <c r="D37" s="1595"/>
      <c r="E37" s="1595"/>
      <c r="F37" s="1595"/>
      <c r="G37" s="1595"/>
      <c r="H37" s="1595"/>
      <c r="I37" s="1595"/>
      <c r="J37" s="1595"/>
      <c r="K37" s="1595"/>
      <c r="L37" s="1596"/>
      <c r="M37" s="1595"/>
      <c r="N37" s="1595"/>
      <c r="O37" s="1595"/>
      <c r="P37" s="1595"/>
      <c r="Q37" s="1595"/>
      <c r="S37" s="2379" t="s">
        <v>528</v>
      </c>
      <c r="T37" s="2379"/>
      <c r="U37" s="1599"/>
      <c r="V37" s="2381" t="str">
        <f>IF(TITLE_NUMBER_PR_CHANGE="",IF(TITLE_NUMBER_PR="","",TITLE_NUMBER_PR),TITLE_NUMBER_PR_CHANGE)</f>
        <v>27-2067</v>
      </c>
      <c r="W37" s="2381"/>
      <c r="X37" s="2381"/>
      <c r="Y37" s="2381"/>
      <c r="Z37" s="2381"/>
      <c r="AA37" s="2381"/>
      <c r="AB37" s="2381"/>
      <c r="AC37" s="548"/>
      <c r="AD37" s="2381" t="str">
        <f>IF(TITLE_NUMBER_PR_CHANGE="",IF(TITLE_NUMBER_PR="","",TITLE_NUMBER_PR),TITLE_NUMBER_PR_CHANGE)</f>
        <v>27-2067</v>
      </c>
      <c r="AE37" s="2381"/>
      <c r="AF37" s="2381"/>
      <c r="AG37" s="2381"/>
      <c r="AH37" s="2381"/>
      <c r="AI37" s="2381"/>
      <c r="AJ37" s="2381"/>
      <c r="AK37" s="2381"/>
      <c r="AL37" s="2381"/>
      <c r="AM37" s="2381"/>
      <c r="AN37" s="2381"/>
      <c r="AO37" s="2381"/>
      <c r="AP37" s="2381"/>
      <c r="AQ37" s="2381"/>
      <c r="AR37" s="2381"/>
      <c r="AS37" s="2381"/>
      <c r="AT37" s="2381"/>
      <c r="AU37" s="2381"/>
      <c r="AV37" s="2381"/>
      <c r="AW37" s="2381"/>
      <c r="AX37" s="2381"/>
      <c r="AY37" s="2381"/>
      <c r="AZ37" s="2381"/>
      <c r="BA37" s="548"/>
      <c r="BB37" s="548"/>
      <c r="BC37" s="502"/>
      <c r="BD37" s="590"/>
      <c r="BE37" s="590"/>
      <c r="BF37" s="590"/>
      <c r="BG37" s="590"/>
      <c r="BH37" s="590"/>
    </row>
    <row s="16563" customFormat="1" customHeight="1" ht="0">
      <c r="A38" s="1595"/>
      <c r="B38" s="1595"/>
      <c r="C38" s="1595"/>
      <c r="D38" s="1595"/>
      <c r="E38" s="1595"/>
      <c r="F38" s="1595"/>
      <c r="G38" s="1595"/>
      <c r="H38" s="1595"/>
      <c r="I38" s="1595"/>
      <c r="J38" s="1595"/>
      <c r="K38" s="1595"/>
      <c r="L38" s="1596"/>
      <c r="M38" s="1595"/>
      <c r="N38" s="1595"/>
      <c r="O38" s="1595"/>
      <c r="P38" s="1595"/>
      <c r="Q38" s="1595"/>
      <c r="S38" s="545"/>
      <c r="T38" s="545"/>
      <c r="U38" s="1681"/>
      <c r="V38" s="548"/>
      <c r="W38" s="548"/>
      <c r="X38" s="548"/>
      <c r="Y38" s="548"/>
      <c r="Z38" s="548"/>
      <c r="AA38" s="548"/>
      <c r="AB38" s="548"/>
      <c r="AC38" s="500" t="s">
        <v>531</v>
      </c>
      <c r="AD38" s="548"/>
      <c r="AE38" s="548"/>
      <c r="AF38" s="548"/>
      <c r="AG38" s="548"/>
      <c r="AH38" s="548"/>
      <c r="AI38" s="548"/>
      <c r="AJ38" s="548"/>
      <c r="AK38" s="548"/>
      <c r="AL38" s="548"/>
      <c r="AM38" s="548"/>
      <c r="AN38" s="548"/>
      <c r="AO38" s="548"/>
      <c r="AP38" s="548"/>
      <c r="AQ38" s="548"/>
      <c r="AR38" s="548"/>
      <c r="AS38" s="548"/>
      <c r="AT38" s="548"/>
      <c r="AU38" s="548"/>
      <c r="AV38" s="548"/>
      <c r="AW38" s="548"/>
      <c r="AX38" s="548"/>
      <c r="AY38" s="548"/>
      <c r="AZ38" s="548"/>
      <c r="BA38" s="500" t="s">
        <v>531</v>
      </c>
      <c r="BD38" s="590"/>
      <c r="BE38" s="590"/>
      <c r="BF38" s="590"/>
      <c r="BG38" s="590"/>
      <c r="BH38" s="590"/>
    </row>
    <row customHeight="1" ht="14.25">
      <c r="Q39" s="513"/>
      <c r="R39" s="598"/>
      <c r="S39" s="1502"/>
      <c r="T39" s="585"/>
      <c r="U39" s="1470"/>
      <c r="V39" s="2405"/>
      <c r="W39" s="2405"/>
      <c r="X39" s="2405"/>
      <c r="Y39" s="2405"/>
      <c r="Z39" s="2405"/>
      <c r="AA39" s="2405"/>
      <c r="AB39" s="2405"/>
      <c r="AC39" s="2405"/>
      <c r="AD39" s="2405"/>
      <c r="AE39" s="2405"/>
      <c r="AF39" s="2405"/>
      <c r="AG39" s="2405"/>
      <c r="AH39" s="2405"/>
      <c r="AI39" s="2405"/>
      <c r="AJ39" s="2405"/>
      <c r="AK39" s="2405"/>
      <c r="AL39" s="2405"/>
      <c r="AM39" s="2405"/>
      <c r="AN39" s="2405"/>
      <c r="AO39" s="2405"/>
      <c r="AP39" s="2405"/>
      <c r="AQ39" s="2405"/>
      <c r="AR39" s="2405"/>
      <c r="AS39" s="2405"/>
      <c r="AT39" s="2405"/>
      <c r="AU39" s="2405"/>
      <c r="AV39" s="2405"/>
      <c r="AW39" s="2405"/>
      <c r="AX39" s="2405"/>
      <c r="AY39" s="2405"/>
      <c r="AZ39" s="2405"/>
      <c r="BA39" s="2405"/>
    </row>
    <row customHeight="1" ht="14.25">
      <c r="Q40" s="513"/>
      <c r="R40" s="598"/>
      <c r="S40" s="2253" t="s">
        <v>406</v>
      </c>
      <c r="T40" s="2253"/>
      <c r="U40" s="2253"/>
      <c r="V40" s="2253"/>
      <c r="W40" s="2253"/>
      <c r="X40" s="2253"/>
      <c r="Y40" s="2253"/>
      <c r="Z40" s="2253"/>
      <c r="AA40" s="2253"/>
      <c r="AB40" s="2253"/>
      <c r="AC40" s="2253"/>
      <c r="AD40" s="2253"/>
      <c r="AE40" s="2253"/>
      <c r="AF40" s="2253"/>
      <c r="AG40" s="2253"/>
      <c r="AH40" s="2253"/>
      <c r="AI40" s="2253"/>
      <c r="AJ40" s="2253"/>
      <c r="AK40" s="2253"/>
      <c r="AL40" s="2253"/>
      <c r="AM40" s="2253"/>
      <c r="AN40" s="2253"/>
      <c r="AO40" s="2253"/>
      <c r="AP40" s="2253"/>
      <c r="AQ40" s="2253"/>
      <c r="AR40" s="2253"/>
      <c r="AS40" s="2253"/>
      <c r="AT40" s="2253"/>
      <c r="AU40" s="2253"/>
      <c r="AV40" s="2253"/>
      <c r="AW40" s="2253"/>
      <c r="AX40" s="2253"/>
      <c r="AY40" s="2253"/>
      <c r="AZ40" s="2253"/>
      <c r="BA40" s="2253"/>
      <c r="BB40" s="2253"/>
      <c r="BC40" s="2253" t="s">
        <v>407</v>
      </c>
    </row>
    <row customHeight="1" ht="14.25">
      <c r="Q41" s="513"/>
      <c r="R41" s="598"/>
      <c r="S41" s="2406" t="s">
        <v>84</v>
      </c>
      <c r="T41" s="2343" t="s">
        <v>611</v>
      </c>
      <c r="U41" s="523"/>
      <c r="V41" s="2407" t="s">
        <v>533</v>
      </c>
      <c r="W41" s="2408"/>
      <c r="X41" s="2408"/>
      <c r="Y41" s="2408"/>
      <c r="Z41" s="2408"/>
      <c r="AA41" s="2408"/>
      <c r="AB41" s="2409"/>
      <c r="AC41" s="2410" t="s">
        <v>534</v>
      </c>
      <c r="AD41" s="2454" t="s">
        <v>612</v>
      </c>
      <c r="AE41" s="2429"/>
      <c r="AF41" s="2429"/>
      <c r="AG41" s="2455"/>
      <c r="AH41" s="2454" t="s">
        <v>613</v>
      </c>
      <c r="AI41" s="2429"/>
      <c r="AJ41" s="2429"/>
      <c r="AK41" s="2455"/>
      <c r="AL41" s="2454" t="s">
        <v>614</v>
      </c>
      <c r="AM41" s="2429"/>
      <c r="AN41" s="2429"/>
      <c r="AO41" s="2455"/>
      <c r="AP41" s="2454" t="s">
        <v>615</v>
      </c>
      <c r="AQ41" s="2429"/>
      <c r="AR41" s="2429"/>
      <c r="AS41" s="2455"/>
      <c r="AT41" s="2407" t="s">
        <v>533</v>
      </c>
      <c r="AU41" s="2408"/>
      <c r="AV41" s="2408"/>
      <c r="AW41" s="2408"/>
      <c r="AX41" s="2408"/>
      <c r="AY41" s="2408"/>
      <c r="AZ41" s="2409"/>
      <c r="BA41" s="2410" t="s">
        <v>534</v>
      </c>
      <c r="BB41" s="2413" t="s">
        <v>536</v>
      </c>
      <c r="BC41" s="2253"/>
    </row>
    <row customHeight="1" ht="33.75">
      <c r="Q42" s="513"/>
      <c r="R42" s="598"/>
      <c r="S42" s="2406"/>
      <c r="T42" s="2343"/>
      <c r="U42" s="1254"/>
      <c r="V42" s="2311" t="s">
        <v>616</v>
      </c>
      <c r="W42" s="2312"/>
      <c r="X42" s="2311" t="s">
        <v>617</v>
      </c>
      <c r="Y42" s="2312"/>
      <c r="Z42" s="2427" t="s">
        <v>618</v>
      </c>
      <c r="AA42" s="2445"/>
      <c r="AB42" s="2446"/>
      <c r="AC42" s="2411"/>
      <c r="AD42" s="2456"/>
      <c r="AE42" s="2457"/>
      <c r="AF42" s="2457"/>
      <c r="AG42" s="2469"/>
      <c r="AH42" s="2456"/>
      <c r="AI42" s="2457"/>
      <c r="AJ42" s="2457"/>
      <c r="AK42" s="2469"/>
      <c r="AL42" s="2456"/>
      <c r="AM42" s="2457"/>
      <c r="AN42" s="2457"/>
      <c r="AO42" s="2469"/>
      <c r="AP42" s="2456"/>
      <c r="AQ42" s="2457"/>
      <c r="AR42" s="2457"/>
      <c r="AS42" s="2469"/>
      <c r="AT42" s="2311" t="s">
        <v>616</v>
      </c>
      <c r="AU42" s="2312"/>
      <c r="AV42" s="2311" t="s">
        <v>617</v>
      </c>
      <c r="AW42" s="2312"/>
      <c r="AX42" s="2427" t="s">
        <v>618</v>
      </c>
      <c r="AY42" s="2445"/>
      <c r="AZ42" s="2446"/>
      <c r="BA42" s="2411"/>
      <c r="BB42" s="2414"/>
      <c r="BC42" s="2253"/>
    </row>
    <row customHeight="1" ht="14.25">
      <c r="Q43" s="513"/>
      <c r="R43" s="598"/>
      <c r="S43" s="2406"/>
      <c r="T43" s="2343"/>
      <c r="U43" s="1254"/>
      <c r="V43" s="2319"/>
      <c r="W43" s="2320"/>
      <c r="X43" s="2319"/>
      <c r="Y43" s="2320"/>
      <c r="Z43" s="2428"/>
      <c r="AA43" s="2447"/>
      <c r="AB43" s="2448"/>
      <c r="AC43" s="2411"/>
      <c r="AD43" s="2456"/>
      <c r="AE43" s="2457"/>
      <c r="AF43" s="2457"/>
      <c r="AG43" s="2469"/>
      <c r="AH43" s="2456"/>
      <c r="AI43" s="2457"/>
      <c r="AJ43" s="2457"/>
      <c r="AK43" s="2469"/>
      <c r="AL43" s="2456"/>
      <c r="AM43" s="2457"/>
      <c r="AN43" s="2457"/>
      <c r="AO43" s="2469"/>
      <c r="AP43" s="2456"/>
      <c r="AQ43" s="2457"/>
      <c r="AR43" s="2457"/>
      <c r="AS43" s="2469"/>
      <c r="AT43" s="2319"/>
      <c r="AU43" s="2320"/>
      <c r="AV43" s="2319"/>
      <c r="AW43" s="2320"/>
      <c r="AX43" s="2428"/>
      <c r="AY43" s="2447"/>
      <c r="AZ43" s="2448"/>
      <c r="BA43" s="2411"/>
      <c r="BB43" s="2414"/>
      <c r="BC43" s="2253"/>
    </row>
    <row customHeight="1" ht="14.25">
      <c r="A44" s="1597"/>
      <c r="B44" s="1597" t="s">
        <v>191</v>
      </c>
      <c r="C44" s="1597" t="s">
        <v>192</v>
      </c>
      <c r="D44" s="1597" t="s">
        <v>193</v>
      </c>
      <c r="E44" s="1591" t="s">
        <v>541</v>
      </c>
      <c r="F44" s="1591" t="s">
        <v>542</v>
      </c>
      <c r="G44" s="1591" t="s">
        <v>543</v>
      </c>
      <c r="H44" s="1591" t="s">
        <v>544</v>
      </c>
      <c r="I44" s="1591" t="s">
        <v>545</v>
      </c>
      <c r="J44" s="1591" t="s">
        <v>546</v>
      </c>
      <c r="K44" s="1591" t="s">
        <v>547</v>
      </c>
      <c r="L44" s="1591" t="s">
        <v>522</v>
      </c>
      <c r="Q44" s="513"/>
      <c r="R44" s="598"/>
      <c r="S44" s="2406"/>
      <c r="T44" s="2343"/>
      <c r="U44" s="524"/>
      <c r="V44" s="1675" t="s">
        <v>582</v>
      </c>
      <c r="W44" s="1675" t="s">
        <v>583</v>
      </c>
      <c r="X44" s="1675" t="s">
        <v>582</v>
      </c>
      <c r="Y44" s="1675" t="s">
        <v>583</v>
      </c>
      <c r="Z44" s="1682" t="s">
        <v>550</v>
      </c>
      <c r="AA44" s="2402" t="s">
        <v>551</v>
      </c>
      <c r="AB44" s="2403"/>
      <c r="AC44" s="2412"/>
      <c r="AD44" s="2458"/>
      <c r="AE44" s="2459"/>
      <c r="AF44" s="2459"/>
      <c r="AG44" s="2460"/>
      <c r="AH44" s="2458"/>
      <c r="AI44" s="2459"/>
      <c r="AJ44" s="2459"/>
      <c r="AK44" s="2460"/>
      <c r="AL44" s="2458"/>
      <c r="AM44" s="2459"/>
      <c r="AN44" s="2459"/>
      <c r="AO44" s="2460"/>
      <c r="AP44" s="2458"/>
      <c r="AQ44" s="2459"/>
      <c r="AR44" s="2459"/>
      <c r="AS44" s="2460"/>
      <c r="AT44" s="1675" t="s">
        <v>582</v>
      </c>
      <c r="AU44" s="1675" t="s">
        <v>583</v>
      </c>
      <c r="AV44" s="1675" t="s">
        <v>582</v>
      </c>
      <c r="AW44" s="1675" t="s">
        <v>583</v>
      </c>
      <c r="AX44" s="1682" t="s">
        <v>550</v>
      </c>
      <c r="AY44" s="2402" t="s">
        <v>551</v>
      </c>
      <c r="AZ44" s="2403"/>
      <c r="BA44" s="2412"/>
      <c r="BB44" s="2415"/>
      <c r="BC44" s="2253"/>
    </row>
    <row s="16382" customFormat="1" customHeight="1" ht="11.25" hidden="1">
      <c r="A45" s="1597"/>
      <c r="B45" s="1597"/>
      <c r="C45" s="1597"/>
      <c r="D45" s="1597"/>
      <c r="E45" s="1597"/>
      <c r="F45" s="1597"/>
      <c r="G45" s="1597"/>
      <c r="H45" s="1597"/>
      <c r="I45" s="1597"/>
      <c r="J45" s="1597"/>
      <c r="K45" s="1597"/>
      <c r="L45" s="1591"/>
      <c r="M45" s="1589"/>
      <c r="N45" s="1589"/>
      <c r="O45" s="1589"/>
      <c r="P45" s="732"/>
      <c r="Q45" s="1480"/>
      <c r="R45" s="1480">
        <v>1</v>
      </c>
      <c r="S45" s="1504" t="s">
        <v>168</v>
      </c>
      <c r="T45" s="1481" t="s">
        <v>99</v>
      </c>
      <c r="U45" s="1471" t="str">
        <f>OFFSET(U45,0,-1)</f>
        <v>2</v>
      </c>
      <c r="V45" s="1678">
        <f>OFFSET(V45,0,-1)+1</f>
        <v>3</v>
      </c>
      <c r="W45" s="1678">
        <f>OFFSET(W45,0,-1)+1</f>
        <v>4</v>
      </c>
      <c r="X45" s="1678">
        <f>OFFSET(X45,0,-1)+1</f>
        <v>5</v>
      </c>
      <c r="Y45" s="1678">
        <f>OFFSET(Y45,0,-1)+1</f>
        <v>6</v>
      </c>
      <c r="Z45" s="1678">
        <f>OFFSET(Z45,0,-1)+1</f>
        <v>7</v>
      </c>
      <c r="AA45" s="2404">
        <f>OFFSET(AA45,0,-1)+1</f>
        <v>8</v>
      </c>
      <c r="AB45" s="2404"/>
      <c r="AC45" s="1678">
        <f>OFFSET(AC45,0,-2)+1</f>
        <v>9</v>
      </c>
      <c r="AD45" s="1678">
        <f>OFFSET(AD45,0,-1)+1</f>
        <v>10</v>
      </c>
      <c r="AE45" s="1678"/>
      <c r="AF45" s="1678"/>
      <c r="AG45" s="1678"/>
      <c r="AH45" s="1678"/>
      <c r="AI45" s="1678"/>
      <c r="AJ45" s="1678"/>
      <c r="AK45" s="1678"/>
      <c r="AL45" s="1678"/>
      <c r="AM45" s="1678"/>
      <c r="AN45" s="1678"/>
      <c r="AO45" s="1678"/>
      <c r="AP45" s="1678"/>
      <c r="AQ45" s="1678"/>
      <c r="AR45" s="1678"/>
      <c r="AS45" s="1678"/>
      <c r="AT45" s="1678"/>
      <c r="AU45" s="1678"/>
      <c r="AV45" s="1678"/>
      <c r="AW45" s="1678">
        <f>OFFSET(AW45,0,-1)+1</f>
        <v>1</v>
      </c>
      <c r="AX45" s="1678">
        <f>OFFSET(AX45,0,-1)+1</f>
        <v>2</v>
      </c>
      <c r="AY45" s="2404">
        <f>OFFSET(AY45,0,-1)+1</f>
        <v>3</v>
      </c>
      <c r="AZ45" s="2404"/>
      <c r="BA45" s="1678">
        <f>OFFSET(BA45,0,-2)+1</f>
        <v>4</v>
      </c>
      <c r="BB45" s="1471">
        <f>OFFSET(BB45,0,-1)</f>
        <v>4</v>
      </c>
      <c r="BC45" s="1678">
        <f>OFFSET(BC45,0,-1)+1</f>
        <v>5</v>
      </c>
      <c r="BD45" s="733"/>
      <c r="BE45" s="733"/>
      <c r="BF45" s="733"/>
      <c r="BG45" s="733"/>
      <c r="BH45" s="733"/>
    </row>
    <row customHeight="1" ht="21">
      <c r="A46" s="1590" t="s">
        <v>294</v>
      </c>
      <c r="B46" s="1590"/>
      <c r="C46" s="1590"/>
      <c r="D46" s="1590"/>
      <c r="E46" s="2388">
        <v>1</v>
      </c>
      <c r="F46" s="1590"/>
      <c r="G46" s="1590"/>
      <c r="H46" s="1590"/>
      <c r="I46" s="1590"/>
      <c r="J46" s="1590"/>
      <c r="K46" s="1590"/>
      <c r="L46" s="1591"/>
      <c r="M46" s="1592"/>
      <c r="N46" s="1592"/>
      <c r="O46" s="1592"/>
      <c r="P46" s="1636"/>
      <c r="Q46" s="1095"/>
      <c r="R46" s="577"/>
      <c r="S46" s="1684">
        <f>INDEX(PT_DIFFERENTIATION_NUM_NTAR,MATCH(A46,PT_DIFFERENTIATION_NTAR_ID,0))</f>
        <v>0</v>
      </c>
      <c r="T46" s="520" t="s">
        <v>179</v>
      </c>
      <c r="U46" s="522"/>
      <c r="V46" s="2383"/>
      <c r="W46" s="2383"/>
      <c r="X46" s="2383"/>
      <c r="Y46" s="2383"/>
      <c r="Z46" s="2383"/>
      <c r="AA46" s="2383"/>
      <c r="AB46" s="2383"/>
      <c r="AC46" s="2384"/>
      <c r="AD46" s="2382" t="str">
        <f>INDEX(PT_DIFFERENTIATION_NTAR,MATCH(A46,PT_DIFFERENTIATION_NTAR_ID,0))</f>
        <v/>
      </c>
      <c r="AE46" s="2383"/>
      <c r="AF46" s="2383"/>
      <c r="AG46" s="2383"/>
      <c r="AH46" s="2383"/>
      <c r="AI46" s="2383"/>
      <c r="AJ46" s="2383"/>
      <c r="AK46" s="2383"/>
      <c r="AL46" s="2383"/>
      <c r="AM46" s="2383"/>
      <c r="AN46" s="2383"/>
      <c r="AO46" s="2383"/>
      <c r="AP46" s="2383"/>
      <c r="AQ46" s="2383"/>
      <c r="AR46" s="2383"/>
      <c r="AS46" s="2383"/>
      <c r="AT46" s="2383"/>
      <c r="AU46" s="2383"/>
      <c r="AV46" s="2383"/>
      <c r="AW46" s="2383"/>
      <c r="AX46" s="2383"/>
      <c r="AY46" s="2383"/>
      <c r="AZ46" s="2383"/>
      <c r="BA46" s="2383"/>
      <c r="BB46" s="2384"/>
      <c r="BC46" s="14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2"/>
      <c r="BF46" s="722" t="str">
        <f>IF(T46="","",T46)</f>
        <v>Наименование тарифа</v>
      </c>
      <c r="BG46" s="722"/>
      <c r="BH46" s="722"/>
    </row>
    <row customHeight="1" ht="21">
      <c r="A47" s="1590" t="s">
        <v>294</v>
      </c>
      <c r="B47" s="1590" t="s">
        <v>295</v>
      </c>
      <c r="C47" s="1590"/>
      <c r="D47" s="1590"/>
      <c r="E47" s="2389"/>
      <c r="F47" s="2388">
        <v>1</v>
      </c>
      <c r="G47" s="1590"/>
      <c r="H47" s="1590"/>
      <c r="I47" s="1590"/>
      <c r="J47" s="1590"/>
      <c r="K47" s="1590"/>
      <c r="L47" s="1591"/>
      <c r="M47" s="1592"/>
      <c r="N47" s="1592"/>
      <c r="O47" s="1592"/>
      <c r="P47" s="1637"/>
      <c r="Q47" s="1638"/>
      <c r="R47" s="575"/>
      <c r="S47" s="1684" t="str">
        <f>INDEX(PT_DIFFERENTIATION_NUM_TER,MATCH(B47,PT_DIFFERENTIATION_TER_ID,0))</f>
        <v>.</v>
      </c>
      <c r="T47" s="530" t="s">
        <v>503</v>
      </c>
      <c r="U47" s="522"/>
      <c r="V47" s="2383"/>
      <c r="W47" s="2383"/>
      <c r="X47" s="2383"/>
      <c r="Y47" s="2383"/>
      <c r="Z47" s="2383"/>
      <c r="AA47" s="2383"/>
      <c r="AB47" s="2383"/>
      <c r="AC47" s="2384"/>
      <c r="AD47" s="2382" t="str">
        <f>INDEX(PT_DIFFERENTIATION_TER,MATCH(B47,PT_DIFFERENTIATION_TER_ID,0))</f>
        <v/>
      </c>
      <c r="AE47" s="2383"/>
      <c r="AF47" s="2383"/>
      <c r="AG47" s="2383"/>
      <c r="AH47" s="2383"/>
      <c r="AI47" s="2383"/>
      <c r="AJ47" s="2383"/>
      <c r="AK47" s="2383"/>
      <c r="AL47" s="2383"/>
      <c r="AM47" s="2383"/>
      <c r="AN47" s="2383"/>
      <c r="AO47" s="2383"/>
      <c r="AP47" s="2383"/>
      <c r="AQ47" s="2383"/>
      <c r="AR47" s="2383"/>
      <c r="AS47" s="2383"/>
      <c r="AT47" s="2383"/>
      <c r="AU47" s="2383"/>
      <c r="AV47" s="2383"/>
      <c r="AW47" s="2383"/>
      <c r="AX47" s="2383"/>
      <c r="AY47" s="2383"/>
      <c r="AZ47" s="2383"/>
      <c r="BA47" s="2383"/>
      <c r="BB47" s="2384"/>
      <c r="BC47" s="1484" t="s">
        <v>504</v>
      </c>
      <c r="BE47" s="722"/>
      <c r="BF47" s="722" t="str">
        <f>IF(T47="","",T47)</f>
        <v>Территория действия тарифа</v>
      </c>
      <c r="BG47" s="722"/>
      <c r="BH47" s="722"/>
    </row>
    <row customHeight="1" ht="42">
      <c r="A48" s="1590" t="s">
        <v>294</v>
      </c>
      <c r="B48" s="1590" t="s">
        <v>295</v>
      </c>
      <c r="C48" s="1590" t="s">
        <v>296</v>
      </c>
      <c r="D48" s="1590"/>
      <c r="E48" s="2389"/>
      <c r="F48" s="2389"/>
      <c r="G48" s="2388">
        <v>1</v>
      </c>
      <c r="H48" s="1590"/>
      <c r="I48" s="1590"/>
      <c r="J48" s="1590"/>
      <c r="K48" s="1590"/>
      <c r="L48" s="1591"/>
      <c r="M48" s="1592"/>
      <c r="N48" s="1592"/>
      <c r="O48" s="1592"/>
      <c r="P48" s="1639"/>
      <c r="Q48" s="1638"/>
      <c r="R48" s="575"/>
      <c r="S48" s="1684" t="str">
        <f>INDEX(PT_DIFFERENTIATION_NUM_CS,MATCH(C48,PT_DIFFERENTIATION_CS_ID,0))</f>
        <v>..</v>
      </c>
      <c r="T48" s="531" t="s">
        <v>585</v>
      </c>
      <c r="U48" s="522"/>
      <c r="V48" s="2383"/>
      <c r="W48" s="2383"/>
      <c r="X48" s="2383"/>
      <c r="Y48" s="2383"/>
      <c r="Z48" s="2383"/>
      <c r="AA48" s="2383"/>
      <c r="AB48" s="2383"/>
      <c r="AC48" s="2384"/>
      <c r="AD48" s="2382" t="str">
        <f>INDEX(PT_DIFFERENTIATION_CS,MATCH(C48,PT_DIFFERENTIATION_CS_ID,0))</f>
        <v/>
      </c>
      <c r="AE48" s="2383"/>
      <c r="AF48" s="2383"/>
      <c r="AG48" s="2383"/>
      <c r="AH48" s="2383"/>
      <c r="AI48" s="2383"/>
      <c r="AJ48" s="2383"/>
      <c r="AK48" s="2383"/>
      <c r="AL48" s="2383"/>
      <c r="AM48" s="2383"/>
      <c r="AN48" s="2383"/>
      <c r="AO48" s="2383"/>
      <c r="AP48" s="2383"/>
      <c r="AQ48" s="2383"/>
      <c r="AR48" s="2383"/>
      <c r="AS48" s="2383"/>
      <c r="AT48" s="2383"/>
      <c r="AU48" s="2383"/>
      <c r="AV48" s="2383"/>
      <c r="AW48" s="2383"/>
      <c r="AX48" s="2383"/>
      <c r="AY48" s="2383"/>
      <c r="AZ48" s="2383"/>
      <c r="BA48" s="2383"/>
      <c r="BB48" s="2384"/>
      <c r="BC48" s="1484" t="s">
        <v>586</v>
      </c>
      <c r="BE48" s="722"/>
      <c r="BF48" s="722" t="str">
        <f>IF(T48="","",T48)</f>
        <v>Наименование централизованной системы холодного водоснабжения</v>
      </c>
      <c r="BG48" s="722"/>
      <c r="BH48" s="722"/>
    </row>
    <row s="16622" customFormat="1" customHeight="1" ht="0">
      <c r="A49" s="1570" t="s">
        <v>294</v>
      </c>
      <c r="B49" s="1570" t="s">
        <v>295</v>
      </c>
      <c r="C49" s="1570" t="s">
        <v>296</v>
      </c>
      <c r="D49" s="1570" t="s">
        <v>619</v>
      </c>
      <c r="E49" s="2389"/>
      <c r="F49" s="2389"/>
      <c r="G49" s="2389"/>
      <c r="H49" s="2388">
        <v>1</v>
      </c>
      <c r="I49" s="1570"/>
      <c r="J49" s="1570"/>
      <c r="K49" s="1570"/>
      <c r="L49" s="1573"/>
      <c r="M49" s="1542"/>
      <c r="N49" s="1542"/>
      <c r="O49" s="1542"/>
      <c r="P49" s="1724"/>
      <c r="Q49" s="1725"/>
      <c r="R49" s="579"/>
      <c r="S49" s="1265"/>
      <c r="T49" s="1726"/>
      <c r="U49" s="1611"/>
      <c r="V49" s="2431"/>
      <c r="W49" s="2431"/>
      <c r="X49" s="2431"/>
      <c r="Y49" s="2431"/>
      <c r="Z49" s="2431"/>
      <c r="AA49" s="2431"/>
      <c r="AB49" s="2431"/>
      <c r="AC49" s="2432"/>
      <c r="AD49" s="2430"/>
      <c r="AE49" s="2431"/>
      <c r="AF49" s="2431"/>
      <c r="AG49" s="2431"/>
      <c r="AH49" s="2431"/>
      <c r="AI49" s="2431"/>
      <c r="AJ49" s="2431"/>
      <c r="AK49" s="2431"/>
      <c r="AL49" s="2431"/>
      <c r="AM49" s="2431"/>
      <c r="AN49" s="2431"/>
      <c r="AO49" s="2431"/>
      <c r="AP49" s="2431"/>
      <c r="AQ49" s="2431"/>
      <c r="AR49" s="2431"/>
      <c r="AS49" s="2431"/>
      <c r="AT49" s="2431"/>
      <c r="AU49" s="2431"/>
      <c r="AV49" s="2431"/>
      <c r="AW49" s="2431"/>
      <c r="AX49" s="2431"/>
      <c r="AY49" s="2431"/>
      <c r="AZ49" s="2431"/>
      <c r="BA49" s="2431"/>
      <c r="BB49" s="2432"/>
      <c r="BC49" s="1612" t="s">
        <v>508</v>
      </c>
      <c r="BE49" s="722"/>
      <c r="BF49" s="722" t="str">
        <f>IF(T49="","",T49)</f>
        <v/>
      </c>
      <c r="BG49" s="722"/>
      <c r="BH49" s="722"/>
    </row>
    <row s="16622" customFormat="1" customHeight="1" ht="0">
      <c r="A50" s="1570" t="s">
        <v>294</v>
      </c>
      <c r="B50" s="1570" t="s">
        <v>295</v>
      </c>
      <c r="C50" s="1570" t="s">
        <v>296</v>
      </c>
      <c r="D50" s="1570" t="s">
        <v>619</v>
      </c>
      <c r="E50" s="2389"/>
      <c r="F50" s="2389"/>
      <c r="G50" s="2389"/>
      <c r="H50" s="2389"/>
      <c r="I50" s="2390" t="str">
        <f>S49&amp;".1"</f>
        <v>.1</v>
      </c>
      <c r="J50" s="1570"/>
      <c r="K50" s="1570"/>
      <c r="L50" s="1573" t="s">
        <v>509</v>
      </c>
      <c r="M50" s="732"/>
      <c r="N50" s="732"/>
      <c r="O50" s="732"/>
      <c r="P50" s="2392">
        <v>1</v>
      </c>
      <c r="Q50" s="1689"/>
      <c r="R50" s="578"/>
      <c r="S50" s="1265"/>
      <c r="T50" s="1610"/>
      <c r="U50" s="1611"/>
      <c r="V50" s="2431"/>
      <c r="W50" s="2431"/>
      <c r="X50" s="2431"/>
      <c r="Y50" s="2431"/>
      <c r="Z50" s="2431"/>
      <c r="AA50" s="2431"/>
      <c r="AB50" s="2431"/>
      <c r="AC50" s="2432"/>
      <c r="AD50" s="2430"/>
      <c r="AE50" s="2431"/>
      <c r="AF50" s="2431"/>
      <c r="AG50" s="2431"/>
      <c r="AH50" s="2431"/>
      <c r="AI50" s="2431"/>
      <c r="AJ50" s="2431"/>
      <c r="AK50" s="2431"/>
      <c r="AL50" s="2431"/>
      <c r="AM50" s="2431"/>
      <c r="AN50" s="2431"/>
      <c r="AO50" s="2431"/>
      <c r="AP50" s="2431"/>
      <c r="AQ50" s="2431"/>
      <c r="AR50" s="2431"/>
      <c r="AS50" s="2431"/>
      <c r="AT50" s="2431"/>
      <c r="AU50" s="2431"/>
      <c r="AV50" s="2431"/>
      <c r="AW50" s="2431"/>
      <c r="AX50" s="2431"/>
      <c r="AY50" s="2431"/>
      <c r="AZ50" s="2431"/>
      <c r="BA50" s="2431"/>
      <c r="BB50" s="2432"/>
      <c r="BC50" s="1612"/>
      <c r="BE50" s="722"/>
      <c r="BF50" s="722" t="str">
        <f>IF(T50="","",T50)</f>
        <v/>
      </c>
      <c r="BG50" s="722"/>
      <c r="BH50" s="722"/>
    </row>
    <row s="16622" customFormat="1" customHeight="1" ht="0">
      <c r="A51" s="1570" t="s">
        <v>294</v>
      </c>
      <c r="B51" s="1570" t="s">
        <v>295</v>
      </c>
      <c r="C51" s="1570" t="s">
        <v>296</v>
      </c>
      <c r="D51" s="1570" t="s">
        <v>619</v>
      </c>
      <c r="E51" s="2389"/>
      <c r="F51" s="2389"/>
      <c r="G51" s="2389"/>
      <c r="H51" s="2389"/>
      <c r="I51" s="2391"/>
      <c r="J51" s="2390" t="str">
        <f>S49&amp;".1"</f>
        <v>.1</v>
      </c>
      <c r="K51" s="1570"/>
      <c r="L51" s="1573"/>
      <c r="M51" s="732"/>
      <c r="N51" s="732"/>
      <c r="O51" s="732"/>
      <c r="P51" s="2392"/>
      <c r="Q51" s="2392">
        <v>1</v>
      </c>
      <c r="R51" s="579"/>
      <c r="S51" s="1265"/>
      <c r="T51" s="1626"/>
      <c r="U51" s="1611"/>
      <c r="V51" s="2431"/>
      <c r="W51" s="2431"/>
      <c r="X51" s="2431"/>
      <c r="Y51" s="2431"/>
      <c r="Z51" s="2431"/>
      <c r="AA51" s="2431"/>
      <c r="AB51" s="2431"/>
      <c r="AC51" s="2432"/>
      <c r="AD51" s="2430"/>
      <c r="AE51" s="2431"/>
      <c r="AF51" s="2431"/>
      <c r="AG51" s="2431"/>
      <c r="AH51" s="2431"/>
      <c r="AI51" s="2431"/>
      <c r="AJ51" s="2431"/>
      <c r="AK51" s="2431"/>
      <c r="AL51" s="2431"/>
      <c r="AM51" s="2431"/>
      <c r="AN51" s="2491"/>
      <c r="AO51" s="2491"/>
      <c r="AP51" s="2431"/>
      <c r="AQ51" s="2431"/>
      <c r="AR51" s="2431"/>
      <c r="AS51" s="2431"/>
      <c r="AT51" s="2431"/>
      <c r="AU51" s="2431"/>
      <c r="AV51" s="2431"/>
      <c r="AW51" s="2431"/>
      <c r="AX51" s="2431"/>
      <c r="AY51" s="2431"/>
      <c r="AZ51" s="2431"/>
      <c r="BA51" s="2431"/>
      <c r="BB51" s="2432"/>
      <c r="BC51" s="1612"/>
      <c r="BE51" s="722"/>
      <c r="BF51" s="722" t="str">
        <f>IF(T51="","",T51)</f>
        <v/>
      </c>
      <c r="BG51" s="722"/>
      <c r="BH51" s="722"/>
    </row>
    <row customHeight="1" ht="11.25">
      <c r="A52" s="1590" t="s">
        <v>294</v>
      </c>
      <c r="B52" s="1590" t="s">
        <v>295</v>
      </c>
      <c r="C52" s="1590" t="s">
        <v>296</v>
      </c>
      <c r="D52" s="1590" t="s">
        <v>619</v>
      </c>
      <c r="E52" s="2389"/>
      <c r="F52" s="2389"/>
      <c r="G52" s="2389"/>
      <c r="H52" s="2389"/>
      <c r="I52" s="2391"/>
      <c r="J52" s="2391"/>
      <c r="K52" s="2390" t="str">
        <f>S48&amp;".1"</f>
        <v>...1</v>
      </c>
      <c r="L52" s="1591"/>
      <c r="P52" s="2392"/>
      <c r="Q52" s="2392"/>
      <c r="R52" s="579">
        <v>1</v>
      </c>
      <c r="S52" s="2465" t="str">
        <f>$K52</f>
        <v>...1</v>
      </c>
      <c r="T52" s="2485"/>
      <c r="U52" s="522"/>
      <c r="V52" s="973"/>
      <c r="W52" s="1483"/>
      <c r="X52" s="973"/>
      <c r="Y52" s="1483"/>
      <c r="Z52" s="1961"/>
      <c r="AA52" s="1686" t="s">
        <v>63</v>
      </c>
      <c r="AB52" s="1961"/>
      <c r="AC52" s="1686" t="s">
        <v>63</v>
      </c>
      <c r="AD52" s="2326" t="s">
        <v>63</v>
      </c>
      <c r="AE52" s="2461"/>
      <c r="AF52" s="2339">
        <v>1</v>
      </c>
      <c r="AG52" s="2484"/>
      <c r="AH52" s="2263" t="s">
        <v>63</v>
      </c>
      <c r="AI52" s="2461"/>
      <c r="AJ52" s="2339">
        <v>1</v>
      </c>
      <c r="AK52" s="2483" t="s">
        <v>24</v>
      </c>
      <c r="AL52" s="2263" t="s">
        <v>63</v>
      </c>
      <c r="AM52" s="2311"/>
      <c r="AN52" s="2339">
        <v>1</v>
      </c>
      <c r="AO52" s="2488"/>
      <c r="AP52" s="2489" t="s">
        <v>63</v>
      </c>
      <c r="AQ52" s="533"/>
      <c r="AR52" s="1690">
        <v>1</v>
      </c>
      <c r="AS52" s="1693" t="s">
        <v>24</v>
      </c>
      <c r="AT52" s="973"/>
      <c r="AU52" s="1483"/>
      <c r="AV52" s="973"/>
      <c r="AW52" s="1483"/>
      <c r="AX52" s="1961"/>
      <c r="AY52" s="1686" t="s">
        <v>63</v>
      </c>
      <c r="AZ52" s="1961"/>
      <c r="BA52" s="1686" t="s">
        <v>63</v>
      </c>
      <c r="BB52" s="1575"/>
      <c r="BC52" s="2418" t="s">
        <v>605</v>
      </c>
      <c r="BE52" s="722"/>
      <c r="BF52" s="722" t="str">
        <f>IF(T52="","",T52)</f>
        <v/>
      </c>
      <c r="BG52" s="722"/>
      <c r="BH52" s="722"/>
    </row>
    <row customHeight="1" ht="11.25">
      <c r="A53" s="1590"/>
      <c r="B53" s="1590"/>
      <c r="C53" s="1590"/>
      <c r="D53" s="1590"/>
      <c r="E53" s="2389"/>
      <c r="F53" s="2389"/>
      <c r="G53" s="2389"/>
      <c r="H53" s="2389"/>
      <c r="I53" s="2391"/>
      <c r="J53" s="2391"/>
      <c r="K53" s="2390"/>
      <c r="L53" s="1591"/>
      <c r="P53" s="2392"/>
      <c r="Q53" s="2392"/>
      <c r="R53" s="579"/>
      <c r="S53" s="2466"/>
      <c r="T53" s="2486"/>
      <c r="U53" s="522"/>
      <c r="V53" s="1620"/>
      <c r="W53" s="1723"/>
      <c r="X53" s="1620"/>
      <c r="Y53" s="1723"/>
      <c r="Z53" s="1620"/>
      <c r="AA53" s="1620"/>
      <c r="AB53" s="1620"/>
      <c r="AC53" s="1620"/>
      <c r="AD53" s="2327"/>
      <c r="AE53" s="2461"/>
      <c r="AF53" s="2339"/>
      <c r="AG53" s="2484"/>
      <c r="AH53" s="2263"/>
      <c r="AI53" s="2461"/>
      <c r="AJ53" s="2339"/>
      <c r="AK53" s="2483"/>
      <c r="AL53" s="2263"/>
      <c r="AM53" s="2319"/>
      <c r="AN53" s="2339"/>
      <c r="AO53" s="2488"/>
      <c r="AP53" s="2490"/>
      <c r="AQ53" s="538"/>
      <c r="AR53" s="638"/>
      <c r="AS53" s="638" t="s">
        <v>606</v>
      </c>
      <c r="AT53" s="1620"/>
      <c r="AU53" s="1723"/>
      <c r="AV53" s="1620"/>
      <c r="AW53" s="1723"/>
      <c r="AX53" s="1620"/>
      <c r="AY53" s="1620"/>
      <c r="AZ53" s="1620"/>
      <c r="BA53" s="1620"/>
      <c r="BB53" s="1624"/>
      <c r="BC53" s="2419"/>
      <c r="BE53" s="722"/>
      <c r="BF53" s="722"/>
      <c r="BG53" s="722"/>
      <c r="BH53" s="722"/>
    </row>
    <row customHeight="1" ht="11.25">
      <c r="A54" s="1590" t="s">
        <v>294</v>
      </c>
      <c r="B54" s="1590"/>
      <c r="C54" s="1590"/>
      <c r="D54" s="1590"/>
      <c r="E54" s="2389"/>
      <c r="F54" s="2389"/>
      <c r="G54" s="2389"/>
      <c r="H54" s="2389"/>
      <c r="I54" s="2391"/>
      <c r="J54" s="2391"/>
      <c r="K54" s="2390"/>
      <c r="L54" s="1591"/>
      <c r="P54" s="2392"/>
      <c r="Q54" s="2392"/>
      <c r="R54" s="579"/>
      <c r="S54" s="2466"/>
      <c r="T54" s="2486"/>
      <c r="U54" s="522"/>
      <c r="V54" s="1620"/>
      <c r="W54" s="1723"/>
      <c r="X54" s="1620"/>
      <c r="Y54" s="1723"/>
      <c r="Z54" s="1620"/>
      <c r="AA54" s="1620"/>
      <c r="AB54" s="1620"/>
      <c r="AC54" s="1620"/>
      <c r="AD54" s="2327"/>
      <c r="AE54" s="2461"/>
      <c r="AF54" s="2339"/>
      <c r="AG54" s="2484"/>
      <c r="AH54" s="2263"/>
      <c r="AI54" s="2461"/>
      <c r="AJ54" s="2339"/>
      <c r="AK54" s="2483"/>
      <c r="AL54" s="2263"/>
      <c r="AM54" s="538"/>
      <c r="AN54" s="1727"/>
      <c r="AO54" s="1727" t="s">
        <v>607</v>
      </c>
      <c r="AP54" s="638"/>
      <c r="AQ54" s="638"/>
      <c r="AR54" s="638"/>
      <c r="AS54" s="1620"/>
      <c r="AT54" s="1620"/>
      <c r="AU54" s="1723"/>
      <c r="AV54" s="1620"/>
      <c r="AW54" s="1723"/>
      <c r="AX54" s="1620"/>
      <c r="AY54" s="1620"/>
      <c r="AZ54" s="1620"/>
      <c r="BA54" s="1620"/>
      <c r="BB54" s="1624"/>
      <c r="BC54" s="2419"/>
      <c r="BE54" s="722"/>
      <c r="BF54" s="722"/>
      <c r="BG54" s="722"/>
      <c r="BH54" s="722"/>
    </row>
    <row customHeight="1" ht="11.25">
      <c r="A55" s="1590" t="s">
        <v>294</v>
      </c>
      <c r="B55" s="1590"/>
      <c r="C55" s="1590"/>
      <c r="D55" s="1590"/>
      <c r="E55" s="2389"/>
      <c r="F55" s="2389"/>
      <c r="G55" s="2389"/>
      <c r="H55" s="2389"/>
      <c r="I55" s="2391"/>
      <c r="J55" s="2391"/>
      <c r="K55" s="2390"/>
      <c r="L55" s="1591"/>
      <c r="P55" s="2392"/>
      <c r="Q55" s="2392"/>
      <c r="R55" s="579"/>
      <c r="S55" s="2466"/>
      <c r="T55" s="2486"/>
      <c r="U55" s="522"/>
      <c r="V55" s="1620"/>
      <c r="W55" s="1723"/>
      <c r="X55" s="1620"/>
      <c r="Y55" s="1723"/>
      <c r="Z55" s="1620"/>
      <c r="AA55" s="1620"/>
      <c r="AB55" s="1620"/>
      <c r="AC55" s="1620"/>
      <c r="AD55" s="2327"/>
      <c r="AE55" s="2461"/>
      <c r="AF55" s="2339"/>
      <c r="AG55" s="2484"/>
      <c r="AH55" s="2263"/>
      <c r="AI55" s="516"/>
      <c r="AJ55" s="637"/>
      <c r="AK55" s="535" t="s">
        <v>608</v>
      </c>
      <c r="AL55" s="1620"/>
      <c r="AM55" s="1620"/>
      <c r="AN55" s="1620"/>
      <c r="AO55" s="1620"/>
      <c r="AP55" s="1620"/>
      <c r="AQ55" s="1620"/>
      <c r="AR55" s="1620"/>
      <c r="AS55" s="1620"/>
      <c r="AT55" s="1620"/>
      <c r="AU55" s="1723"/>
      <c r="AV55" s="1620"/>
      <c r="AW55" s="1723"/>
      <c r="AX55" s="1620"/>
      <c r="AY55" s="1620"/>
      <c r="AZ55" s="1620"/>
      <c r="BA55" s="1620"/>
      <c r="BB55" s="1624"/>
      <c r="BC55" s="2419"/>
      <c r="BE55" s="722"/>
      <c r="BF55" s="722"/>
      <c r="BG55" s="722"/>
      <c r="BH55" s="722"/>
    </row>
    <row customHeight="1" ht="11.25">
      <c r="A56" s="1590" t="s">
        <v>294</v>
      </c>
      <c r="B56" s="1590" t="s">
        <v>295</v>
      </c>
      <c r="C56" s="1590" t="s">
        <v>296</v>
      </c>
      <c r="D56" s="1590" t="s">
        <v>619</v>
      </c>
      <c r="E56" s="2389"/>
      <c r="F56" s="2389"/>
      <c r="G56" s="2389"/>
      <c r="H56" s="2389"/>
      <c r="I56" s="2391"/>
      <c r="J56" s="2391"/>
      <c r="K56" s="2390"/>
      <c r="L56" s="1591"/>
      <c r="P56" s="2392"/>
      <c r="Q56" s="2392"/>
      <c r="R56" s="579"/>
      <c r="S56" s="2467"/>
      <c r="T56" s="2487"/>
      <c r="U56" s="522"/>
      <c r="V56" s="1620"/>
      <c r="W56" s="1621" t="str">
        <f>Z52&amp;"-"&amp;AB52</f>
        <v>-</v>
      </c>
      <c r="X56" s="1620"/>
      <c r="Y56" s="1621" t="str">
        <f>AB52&amp;"-"&amp;AD52</f>
        <v>-да</v>
      </c>
      <c r="Z56" s="1620"/>
      <c r="AA56" s="1620"/>
      <c r="AB56" s="1620"/>
      <c r="AC56" s="1620"/>
      <c r="AD56" s="2268"/>
      <c r="AE56" s="534"/>
      <c r="AF56" s="536"/>
      <c r="AG56" s="638" t="s">
        <v>609</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19"/>
      <c r="BE56" s="722"/>
      <c r="BF56" s="722" t="str">
        <f>IF(T56="","",T56)</f>
        <v/>
      </c>
      <c r="BG56" s="722"/>
      <c r="BH56" s="722"/>
    </row>
    <row customHeight="1" ht="11.25">
      <c r="A57" s="1590" t="s">
        <v>294</v>
      </c>
      <c r="B57" s="1590" t="s">
        <v>295</v>
      </c>
      <c r="C57" s="1590" t="s">
        <v>296</v>
      </c>
      <c r="D57" s="1590" t="s">
        <v>619</v>
      </c>
      <c r="E57" s="2389"/>
      <c r="F57" s="2389"/>
      <c r="G57" s="2389"/>
      <c r="H57" s="2389"/>
      <c r="I57" s="2391"/>
      <c r="J57" s="2390"/>
      <c r="K57" s="1590"/>
      <c r="L57" s="1591"/>
      <c r="P57" s="2392"/>
      <c r="Q57" s="2392"/>
      <c r="R57" s="578"/>
      <c r="S57" s="1505"/>
      <c r="T57" s="509" t="s">
        <v>571</v>
      </c>
      <c r="U57" s="589"/>
      <c r="V57" s="589"/>
      <c r="W57" s="589"/>
      <c r="X57" s="589"/>
      <c r="Y57" s="589"/>
      <c r="Z57" s="589"/>
      <c r="AA57" s="589"/>
      <c r="AB57" s="589"/>
      <c r="AC57" s="546"/>
      <c r="AD57" s="1732"/>
      <c r="AE57" s="589"/>
      <c r="AF57" s="589"/>
      <c r="AG57" s="589"/>
      <c r="AH57" s="589"/>
      <c r="AI57" s="589"/>
      <c r="AJ57" s="589"/>
      <c r="AK57" s="589"/>
      <c r="AL57" s="589"/>
      <c r="AM57" s="589"/>
      <c r="AN57" s="589"/>
      <c r="AO57" s="589"/>
      <c r="AP57" s="589"/>
      <c r="AQ57" s="589"/>
      <c r="AR57" s="589"/>
      <c r="AS57" s="589"/>
      <c r="AT57" s="589"/>
      <c r="AU57" s="589"/>
      <c r="AV57" s="589"/>
      <c r="AW57" s="589"/>
      <c r="AX57" s="589"/>
      <c r="AY57" s="589"/>
      <c r="AZ57" s="589"/>
      <c r="BA57" s="589"/>
      <c r="BB57" s="546"/>
      <c r="BC57" s="2420"/>
      <c r="BE57" s="722"/>
      <c r="BF57" s="722" t="str">
        <f>IF(T57="","",T57)</f>
        <v>Добавить строку</v>
      </c>
      <c r="BG57" s="722"/>
      <c r="BH57" s="722"/>
    </row>
    <row s="16622" customFormat="1" customHeight="1" ht="0">
      <c r="A58" s="1570" t="s">
        <v>294</v>
      </c>
      <c r="B58" s="1570" t="s">
        <v>295</v>
      </c>
      <c r="C58" s="1570" t="s">
        <v>296</v>
      </c>
      <c r="D58" s="1570" t="s">
        <v>619</v>
      </c>
      <c r="E58" s="2389"/>
      <c r="F58" s="2389"/>
      <c r="G58" s="2389"/>
      <c r="H58" s="2389"/>
      <c r="I58" s="2390"/>
      <c r="J58" s="1570"/>
      <c r="K58" s="1570"/>
      <c r="L58" s="1573"/>
      <c r="M58" s="732"/>
      <c r="N58" s="732"/>
      <c r="O58" s="732"/>
      <c r="P58" s="2392"/>
      <c r="Q58" s="1689"/>
      <c r="R58" s="578"/>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2"/>
      <c r="BF58" s="722" t="str">
        <f>IF(T58="","",T58)</f>
        <v/>
      </c>
      <c r="BG58" s="722"/>
      <c r="BH58" s="722"/>
    </row>
    <row s="16622" customFormat="1" customHeight="1" ht="0">
      <c r="A59" s="1570" t="s">
        <v>294</v>
      </c>
      <c r="B59" s="1570" t="s">
        <v>295</v>
      </c>
      <c r="C59" s="1570" t="s">
        <v>296</v>
      </c>
      <c r="D59" s="1570" t="s">
        <v>619</v>
      </c>
      <c r="E59" s="2389"/>
      <c r="F59" s="2389"/>
      <c r="G59" s="2389"/>
      <c r="H59" s="2388"/>
      <c r="I59" s="1570"/>
      <c r="J59" s="1570"/>
      <c r="K59" s="1570"/>
      <c r="L59" s="1573"/>
      <c r="M59" s="1542"/>
      <c r="N59" s="1542"/>
      <c r="O59" s="740"/>
      <c r="P59" s="602"/>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2"/>
      <c r="BF59" s="722" t="str">
        <f>IF(T59="","",T59)</f>
        <v/>
      </c>
      <c r="BG59" s="722"/>
      <c r="BH59" s="722"/>
    </row>
    <row s="16531" customFormat="1" customHeight="1" ht="0">
      <c r="A60" s="1570" t="s">
        <v>294</v>
      </c>
      <c r="B60" s="1570" t="s">
        <v>295</v>
      </c>
      <c r="C60" s="1570" t="s">
        <v>296</v>
      </c>
      <c r="D60" s="1541"/>
      <c r="E60" s="2389"/>
      <c r="F60" s="2389"/>
      <c r="G60" s="2388"/>
      <c r="H60" s="1541"/>
      <c r="I60" s="1541"/>
      <c r="J60" s="1541"/>
      <c r="K60" s="1541"/>
      <c r="L60" s="169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1"/>
      <c r="BF60" s="1011" t="str">
        <f>IF(T60="","",T60)</f>
        <v/>
      </c>
      <c r="BG60" s="1011"/>
      <c r="BH60" s="1011"/>
    </row>
    <row s="16531" customFormat="1" customHeight="1" ht="0">
      <c r="A61" s="1570" t="s">
        <v>294</v>
      </c>
      <c r="B61" s="1570" t="s">
        <v>295</v>
      </c>
      <c r="C61" s="1541"/>
      <c r="D61" s="1541"/>
      <c r="E61" s="2389"/>
      <c r="F61" s="2388"/>
      <c r="G61" s="1541"/>
      <c r="H61" s="1541"/>
      <c r="I61" s="1541"/>
      <c r="J61" s="1541"/>
      <c r="K61" s="1541"/>
      <c r="L61" s="1691"/>
      <c r="M61" s="1548"/>
      <c r="N61" s="1548"/>
      <c r="P61" s="1543"/>
      <c r="Q61" s="1544"/>
      <c r="R61" s="1543"/>
      <c r="S61" s="1549"/>
      <c r="T61" s="1552" t="s">
        <v>305</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1"/>
      <c r="BF61" s="1011" t="str">
        <f>IF(T61="","",T61)</f>
        <v>Добавить централизованную систему для дифференциации</v>
      </c>
      <c r="BG61" s="1011"/>
      <c r="BH61" s="1011"/>
    </row>
    <row s="16622" customFormat="1" customHeight="1" ht="0">
      <c r="A62" s="1570" t="s">
        <v>294</v>
      </c>
      <c r="B62" s="1570"/>
      <c r="C62" s="1570"/>
      <c r="D62" s="1570"/>
      <c r="E62" s="2388"/>
      <c r="F62" s="1570"/>
      <c r="G62" s="1570"/>
      <c r="H62" s="1570"/>
      <c r="I62" s="1570"/>
      <c r="J62" s="1570"/>
      <c r="K62" s="1570"/>
      <c r="L62" s="1573"/>
      <c r="M62" s="1548"/>
      <c r="N62" s="1548"/>
      <c r="O62" s="740"/>
      <c r="P62" s="602"/>
      <c r="Q62" s="1571"/>
      <c r="R62" s="602"/>
      <c r="S62" s="1549"/>
      <c r="T62" s="1552" t="s">
        <v>358</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2"/>
      <c r="BF62" s="722" t="str">
        <f>IF(T62="","",T62)</f>
        <v>Добавить территорию для дифференциации</v>
      </c>
      <c r="BG62" s="722"/>
      <c r="BH62" s="722"/>
    </row>
    <row s="16531" customFormat="1" customHeight="1" ht="0">
      <c r="A63" s="1541"/>
      <c r="B63" s="1541"/>
      <c r="C63" s="1541"/>
      <c r="D63" s="1541"/>
      <c r="E63" s="1570"/>
      <c r="F63" s="1541"/>
      <c r="G63" s="1541"/>
      <c r="H63" s="1541"/>
      <c r="I63" s="1541"/>
      <c r="J63" s="1541"/>
      <c r="K63" s="1541"/>
      <c r="L63" s="1691"/>
      <c r="M63" s="1548"/>
      <c r="N63" s="1548"/>
      <c r="P63" s="1543"/>
      <c r="Q63" s="1544"/>
      <c r="R63" s="1543"/>
      <c r="S63" s="1549"/>
      <c r="T63" s="1552" t="s">
        <v>359</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1"/>
      <c r="BF63" s="1011" t="str">
        <f>IF(T63="","",T63)</f>
        <v>Добавить наименование тарифа</v>
      </c>
      <c r="BG63" s="1011"/>
      <c r="BH63" s="1011"/>
    </row>
    <row customHeight="1" ht="11.25">
      <c r="M64" s="1384"/>
      <c r="N64" s="1384"/>
      <c r="O64" s="759"/>
      <c r="P64" s="1384"/>
      <c r="Q64" s="1384"/>
      <c r="R64" s="1379"/>
      <c r="S64" s="1379"/>
      <c r="BD64" s="1379"/>
      <c r="BE64" s="1379"/>
      <c r="BF64" s="1379"/>
      <c r="BG64" s="1379"/>
      <c r="BH64" s="1379"/>
    </row>
    <row customHeight="1" ht="18.75">
      <c r="O65" s="759"/>
      <c r="S65" s="1479"/>
      <c r="T65" s="2387"/>
      <c r="U65" s="2387"/>
      <c r="V65" s="2387"/>
      <c r="W65" s="2387"/>
      <c r="X65" s="2387"/>
      <c r="Y65" s="2387"/>
      <c r="Z65" s="2387"/>
      <c r="AA65" s="2387"/>
      <c r="AB65" s="2387"/>
      <c r="AC65" s="2387"/>
      <c r="AD65" s="2387"/>
      <c r="AE65" s="2387"/>
      <c r="AF65" s="2387"/>
      <c r="AG65" s="2387"/>
      <c r="AH65" s="2387"/>
      <c r="AI65" s="2387"/>
      <c r="AJ65" s="2387"/>
      <c r="AK65" s="2387"/>
      <c r="AL65" s="2387"/>
      <c r="AM65" s="2387"/>
      <c r="AN65" s="2387"/>
      <c r="AO65" s="2387"/>
      <c r="AP65" s="2387"/>
      <c r="AQ65" s="2387"/>
      <c r="AR65" s="2387"/>
      <c r="AS65" s="2387"/>
      <c r="AT65" s="2387"/>
      <c r="AU65" s="2387"/>
      <c r="AV65" s="2387"/>
      <c r="AW65" s="2387"/>
      <c r="AX65" s="2387"/>
      <c r="AY65" s="2387"/>
      <c r="AZ65" s="2387"/>
      <c r="BA65" s="2387"/>
      <c r="BB65" s="2387"/>
      <c r="BC65" s="2387"/>
    </row>
    <row customHeight="1" ht="14.25">
      <c r="O66" s="759"/>
      <c r="T66" s="1676"/>
      <c r="U66" s="1676"/>
      <c r="V66" s="1676"/>
      <c r="W66" s="1676"/>
      <c r="X66" s="1676"/>
      <c r="Y66" s="1676"/>
      <c r="Z66" s="1676"/>
      <c r="AA66" s="1676"/>
      <c r="AB66" s="1676"/>
      <c r="AC66" s="1676"/>
      <c r="AD66" s="1676"/>
      <c r="AE66" s="1676"/>
      <c r="AF66" s="1676"/>
      <c r="AG66" s="1676"/>
      <c r="AH66" s="1676"/>
      <c r="AI66" s="1676"/>
      <c r="AJ66" s="1676"/>
      <c r="AK66" s="1676"/>
      <c r="AL66" s="1676"/>
      <c r="AM66" s="1676"/>
      <c r="AN66" s="1676"/>
      <c r="AO66" s="1676"/>
      <c r="AP66" s="1676"/>
      <c r="AQ66" s="1676"/>
      <c r="AR66" s="1676"/>
      <c r="AS66" s="1676"/>
      <c r="AT66" s="1676"/>
      <c r="AU66" s="1676"/>
      <c r="AV66" s="1676"/>
      <c r="AW66" s="1676"/>
      <c r="AX66" s="1676"/>
      <c r="AY66" s="1676"/>
      <c r="AZ66" s="1676"/>
      <c r="BA66" s="1676"/>
      <c r="BB66" s="1676"/>
      <c r="BC66" s="1676"/>
    </row>
    <row customHeight="1" ht="18.75">
      <c r="O67" s="759"/>
      <c r="S67" s="1479"/>
      <c r="T67" s="2387"/>
      <c r="U67" s="2387"/>
      <c r="V67" s="2387"/>
      <c r="W67" s="2387"/>
      <c r="X67" s="2387"/>
      <c r="Y67" s="2387"/>
      <c r="Z67" s="2387"/>
      <c r="AA67" s="2387"/>
      <c r="AB67" s="2387"/>
      <c r="AC67" s="2387"/>
      <c r="AD67" s="2387"/>
      <c r="AE67" s="2387"/>
      <c r="AF67" s="2387"/>
      <c r="AG67" s="2387"/>
      <c r="AH67" s="2387"/>
      <c r="AI67" s="2387"/>
      <c r="AJ67" s="2387"/>
      <c r="AK67" s="2387"/>
      <c r="AL67" s="2387"/>
      <c r="AM67" s="2387"/>
      <c r="AN67" s="2387"/>
      <c r="AO67" s="2387"/>
      <c r="AP67" s="2387"/>
      <c r="AQ67" s="2387"/>
      <c r="AR67" s="2387"/>
      <c r="AS67" s="2387"/>
      <c r="AT67" s="2387"/>
      <c r="AU67" s="2387"/>
      <c r="AV67" s="2387"/>
      <c r="AW67" s="2387"/>
      <c r="AX67" s="2387"/>
      <c r="AY67" s="2387"/>
      <c r="AZ67" s="2387"/>
      <c r="BA67" s="2387"/>
      <c r="BB67" s="2387"/>
      <c r="BC67" s="2387"/>
    </row>
    <row customHeight="1" ht="14.25">
      <c r="O68" s="759"/>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596BF4-59D1-C938-2EE9-EE49A5B23F8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6550" width="10.57421875" hidden="1"/>
    <col min="2" max="2" style="16550" width="11.00390625" hidden="1" customWidth="1"/>
    <col min="3" max="3" style="16550" width="10.57421875" hidden="1"/>
    <col min="4" max="4" style="16550" width="11.8515625" hidden="1" customWidth="1"/>
    <col min="5" max="5" style="16550" width="10.00390625" hidden="1" customWidth="1"/>
    <col min="6" max="6" style="16550" width="8.7109375" hidden="1" customWidth="1"/>
    <col min="7" max="7" style="16550" width="7.57421875" hidden="1" customWidth="1"/>
    <col min="8" max="8" style="16550" width="11.421875" hidden="1" customWidth="1"/>
    <col min="9" max="9" style="16550" width="14.140625" hidden="1" customWidth="1"/>
    <col min="10" max="10" style="16550" width="9.8515625" hidden="1" customWidth="1"/>
    <col min="11" max="11" style="16550" width="14.7109375" hidden="1" customWidth="1"/>
    <col min="12" max="12" style="16899" width="19.140625" hidden="1" customWidth="1"/>
    <col min="13" max="14" style="16631" width="12.28125" hidden="1" customWidth="1"/>
    <col min="15" max="15" style="16631" width="23.421875" hidden="1" customWidth="1"/>
    <col min="16" max="16" style="16900" width="3.7109375" customWidth="1"/>
    <col min="17" max="18" style="16633" width="3.7109375" customWidth="1"/>
    <col min="19" max="19" style="16634" width="12.7109375" customWidth="1"/>
    <col min="20" max="20" style="16635" width="35.7109375" customWidth="1"/>
    <col min="21" max="21" style="16635" width="0.140625" customWidth="1"/>
    <col min="22" max="24" style="16635" width="24.7109375" hidden="1" customWidth="1"/>
    <col min="25" max="25" style="16635" width="11.7109375" hidden="1" customWidth="1"/>
    <col min="26" max="26" style="16635" width="3.7109375" hidden="1" customWidth="1"/>
    <col min="27" max="27" style="16635" width="11.7109375" hidden="1" customWidth="1"/>
    <col min="28" max="28" style="16635" width="8.57421875" hidden="1" customWidth="1"/>
    <col min="29" max="31" style="16635" width="24.7109375" customWidth="1"/>
    <col min="32" max="32" style="16635" width="11.7109375" customWidth="1"/>
    <col min="33" max="33" style="16635" width="3.7109375" customWidth="1"/>
    <col min="34" max="34" style="16635" width="11.7109375" customWidth="1"/>
    <col min="35" max="35" style="16635" width="8.57421875" hidden="1" customWidth="1"/>
    <col min="36" max="36" style="16635" width="4.7109375" customWidth="1"/>
    <col min="37" max="37" style="16635" width="115.7109375" customWidth="1"/>
    <col min="38" max="39" style="16622" width="10.57421875"/>
    <col min="40" max="40" style="16622" width="11.140625" customWidth="1"/>
    <col min="41" max="42" style="16622" width="10.57421875"/>
  </cols>
  <sheetData>
    <row customHeight="1" ht="14.25" hidden="1">
      <c r="X1" s="549"/>
      <c r="Y1" s="549"/>
      <c r="AE1" s="549"/>
      <c r="AF1" s="549"/>
    </row>
    <row customHeight="1" ht="23.25" hidden="1">
      <c r="A2" s="1590"/>
      <c r="B2" s="1590"/>
      <c r="C2" s="1590"/>
      <c r="D2" s="1590"/>
      <c r="E2" s="2388">
        <v>1</v>
      </c>
      <c r="F2" s="1590"/>
      <c r="G2" s="1590"/>
      <c r="H2" s="1590"/>
      <c r="I2" s="1590"/>
      <c r="J2" s="1590"/>
      <c r="K2" s="1590"/>
      <c r="L2" s="1591"/>
      <c r="M2" s="1592"/>
      <c r="N2" s="1592"/>
      <c r="O2" s="1592"/>
      <c r="P2" s="583"/>
      <c r="Q2" s="582"/>
      <c r="R2" s="577"/>
      <c r="S2" s="1720">
        <f>INDEX(PT_DIFFERENTIATION_NUM_NTAR,MATCH(A2,PT_DIFFERENTIATION_NTAR_ID,0))</f>
      </c>
      <c r="T2" s="520" t="s">
        <v>179</v>
      </c>
      <c r="U2" s="522"/>
      <c r="V2" s="2382"/>
      <c r="W2" s="2383"/>
      <c r="X2" s="2383"/>
      <c r="Y2" s="2383"/>
      <c r="Z2" s="2383"/>
      <c r="AA2" s="2383"/>
      <c r="AB2" s="2384"/>
      <c r="AC2" s="2382">
        <f>INDEX(PT_DIFFERENTIATION_NTAR,MATCH(A2,PT_DIFFERENTIATION_NTAR_ID,0))</f>
      </c>
      <c r="AD2" s="2383"/>
      <c r="AE2" s="2383"/>
      <c r="AF2" s="2383"/>
      <c r="AG2" s="2383"/>
      <c r="AH2" s="2383"/>
      <c r="AI2" s="2383"/>
      <c r="AJ2" s="2384"/>
      <c r="AK2" s="14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2"/>
      <c r="AN2" s="722" t="str">
        <f>IF(T2="","",T2)</f>
        <v>Наименование тарифа</v>
      </c>
      <c r="AO2" s="722"/>
      <c r="AP2" s="722"/>
    </row>
    <row customHeight="1" ht="23.25" hidden="1">
      <c r="A3" s="1590"/>
      <c r="B3" s="1590"/>
      <c r="C3" s="1590"/>
      <c r="D3" s="1590"/>
      <c r="E3" s="2389"/>
      <c r="F3" s="2388">
        <v>1</v>
      </c>
      <c r="G3" s="1590"/>
      <c r="H3" s="1590"/>
      <c r="I3" s="1590"/>
      <c r="J3" s="1590"/>
      <c r="K3" s="1590"/>
      <c r="L3" s="1591"/>
      <c r="M3" s="1592"/>
      <c r="N3" s="1592"/>
      <c r="O3" s="1592"/>
      <c r="P3" s="1714"/>
      <c r="Q3" s="574"/>
      <c r="R3" s="575"/>
      <c r="S3" s="1720">
        <f>INDEX(PT_DIFFERENTIATION_NUM_TER,MATCH(B3,PT_DIFFERENTIATION_TER_ID,0))</f>
      </c>
      <c r="T3" s="530" t="s">
        <v>503</v>
      </c>
      <c r="U3" s="522"/>
      <c r="V3" s="2382"/>
      <c r="W3" s="2383"/>
      <c r="X3" s="2383"/>
      <c r="Y3" s="2383"/>
      <c r="Z3" s="2383"/>
      <c r="AA3" s="2383"/>
      <c r="AB3" s="2384"/>
      <c r="AC3" s="2382">
        <f>INDEX(PT_DIFFERENTIATION_TER,MATCH(B3,PT_DIFFERENTIATION_TER_ID,0))</f>
      </c>
      <c r="AD3" s="2383"/>
      <c r="AE3" s="2383"/>
      <c r="AF3" s="2383"/>
      <c r="AG3" s="2383"/>
      <c r="AH3" s="2383"/>
      <c r="AI3" s="2383"/>
      <c r="AJ3" s="2384"/>
      <c r="AK3" s="1484" t="s">
        <v>504</v>
      </c>
      <c r="AM3" s="722"/>
      <c r="AN3" s="722" t="str">
        <f>IF(T3="","",T3)</f>
        <v>Территория действия тарифа</v>
      </c>
      <c r="AO3" s="722"/>
      <c r="AP3" s="722"/>
    </row>
    <row customHeight="1" ht="23.25" hidden="1">
      <c r="A4" s="1590"/>
      <c r="B4" s="1590"/>
      <c r="C4" s="1590"/>
      <c r="D4" s="1590"/>
      <c r="E4" s="2389"/>
      <c r="F4" s="2389"/>
      <c r="G4" s="2388">
        <v>1</v>
      </c>
      <c r="H4" s="1590"/>
      <c r="I4" s="1590"/>
      <c r="J4" s="1590"/>
      <c r="K4" s="1590"/>
      <c r="L4" s="1591"/>
      <c r="M4" s="1592"/>
      <c r="N4" s="1592"/>
      <c r="O4" s="1592"/>
      <c r="P4" s="576"/>
      <c r="Q4" s="574"/>
      <c r="R4" s="575"/>
      <c r="S4" s="1720">
        <f>INDEX(PT_DIFFERENTIATION_NUM_CS,MATCH(C4,PT_DIFFERENTIATION_CS_ID,0))</f>
      </c>
      <c r="T4" s="531" t="s">
        <v>620</v>
      </c>
      <c r="U4" s="522"/>
      <c r="V4" s="2382"/>
      <c r="W4" s="2383"/>
      <c r="X4" s="2383"/>
      <c r="Y4" s="2383"/>
      <c r="Z4" s="2383"/>
      <c r="AA4" s="2383"/>
      <c r="AB4" s="2384"/>
      <c r="AC4" s="2382">
        <f>INDEX(PT_DIFFERENTIATION_CS,MATCH(C4,PT_DIFFERENTIATION_CS_ID,0))</f>
      </c>
      <c r="AD4" s="2383"/>
      <c r="AE4" s="2383"/>
      <c r="AF4" s="2383"/>
      <c r="AG4" s="2383"/>
      <c r="AH4" s="2383"/>
      <c r="AI4" s="2383"/>
      <c r="AJ4" s="2384"/>
      <c r="AK4" s="1484" t="s">
        <v>621</v>
      </c>
      <c r="AM4" s="722"/>
      <c r="AN4" s="722" t="str">
        <f>IF(T4="","",T4)</f>
        <v>Наименование централизованной системы водоотведения</v>
      </c>
      <c r="AO4" s="722"/>
      <c r="AP4" s="722"/>
    </row>
    <row customHeight="1" ht="23.25" hidden="1">
      <c r="A5" s="1590"/>
      <c r="B5" s="1590"/>
      <c r="C5" s="1590"/>
      <c r="D5" s="1590"/>
      <c r="E5" s="2389"/>
      <c r="F5" s="2389"/>
      <c r="G5" s="2389"/>
      <c r="H5" s="2389"/>
      <c r="I5" s="2390">
        <f>S4&amp;".1"</f>
      </c>
      <c r="J5" s="1590"/>
      <c r="K5" s="1590"/>
      <c r="L5" s="1591"/>
      <c r="P5" s="2392">
        <v>1</v>
      </c>
      <c r="Q5" s="1708"/>
      <c r="R5" s="578"/>
      <c r="S5" s="1720">
        <f>$I5</f>
      </c>
      <c r="T5" s="507" t="s">
        <v>587</v>
      </c>
      <c r="U5" s="522"/>
      <c r="V5" s="2475"/>
      <c r="W5" s="2476"/>
      <c r="X5" s="2476"/>
      <c r="Y5" s="2476"/>
      <c r="Z5" s="2476"/>
      <c r="AA5" s="2476"/>
      <c r="AB5" s="2477"/>
      <c r="AC5" s="2478"/>
      <c r="AD5" s="2479"/>
      <c r="AE5" s="2479"/>
      <c r="AF5" s="2479"/>
      <c r="AG5" s="2479"/>
      <c r="AH5" s="2479"/>
      <c r="AI5" s="2479"/>
      <c r="AJ5" s="2480"/>
      <c r="AK5" s="1484" t="s">
        <v>588</v>
      </c>
      <c r="AM5" s="722"/>
      <c r="AN5" s="722" t="str">
        <f>IF(T5="","",T5)</f>
        <v>Наименование признака дифференциации</v>
      </c>
      <c r="AO5" s="722"/>
      <c r="AP5" s="722"/>
    </row>
    <row customHeight="1" ht="23.25" hidden="1">
      <c r="A6" s="1590"/>
      <c r="B6" s="1590"/>
      <c r="C6" s="1590"/>
      <c r="D6" s="1590"/>
      <c r="E6" s="2389"/>
      <c r="F6" s="2389"/>
      <c r="G6" s="2389"/>
      <c r="H6" s="2389"/>
      <c r="I6" s="2391"/>
      <c r="J6" s="2390">
        <f>I5&amp;".1"</f>
      </c>
      <c r="K6" s="1590"/>
      <c r="L6" s="1591" t="s">
        <v>512</v>
      </c>
      <c r="P6" s="2392"/>
      <c r="Q6" s="2392">
        <v>1</v>
      </c>
      <c r="R6" s="579"/>
      <c r="S6" s="1720">
        <f>$J6</f>
      </c>
      <c r="T6" s="508" t="s">
        <v>513</v>
      </c>
      <c r="U6" s="522"/>
      <c r="V6" s="2376"/>
      <c r="W6" s="2377"/>
      <c r="X6" s="2377"/>
      <c r="Y6" s="2377"/>
      <c r="Z6" s="2377"/>
      <c r="AA6" s="2377"/>
      <c r="AB6" s="2378"/>
      <c r="AC6" s="2376"/>
      <c r="AD6" s="2377"/>
      <c r="AE6" s="2377"/>
      <c r="AF6" s="2377"/>
      <c r="AG6" s="2377"/>
      <c r="AH6" s="2377"/>
      <c r="AI6" s="2377"/>
      <c r="AJ6" s="2378"/>
      <c r="AK6" s="1534" t="s">
        <v>589</v>
      </c>
      <c r="AM6" s="722"/>
      <c r="AN6" s="722" t="str">
        <f>IF(T6="","",T6)</f>
        <v>Группа потребителей</v>
      </c>
      <c r="AO6" s="722"/>
      <c r="AP6" s="722"/>
    </row>
    <row customHeight="1" ht="23.25" hidden="1">
      <c r="A7" s="1590"/>
      <c r="B7" s="1590"/>
      <c r="C7" s="1590"/>
      <c r="D7" s="1590"/>
      <c r="E7" s="2389"/>
      <c r="F7" s="2389"/>
      <c r="G7" s="2389"/>
      <c r="H7" s="2389"/>
      <c r="I7" s="2391"/>
      <c r="J7" s="2391"/>
      <c r="K7" s="2390">
        <f>J6&amp;".1"</f>
      </c>
      <c r="L7" s="1591"/>
      <c r="P7" s="2392"/>
      <c r="Q7" s="2392"/>
      <c r="R7" s="579">
        <v>1</v>
      </c>
      <c r="S7" s="1720">
        <f>$K7</f>
      </c>
      <c r="T7" s="1664"/>
      <c r="U7" s="522"/>
      <c r="V7" s="973"/>
      <c r="W7" s="973"/>
      <c r="X7" s="1483"/>
      <c r="Y7" s="2393"/>
      <c r="Z7" s="2263" t="s">
        <v>63</v>
      </c>
      <c r="AA7" s="2393"/>
      <c r="AB7" s="2263" t="s">
        <v>63</v>
      </c>
      <c r="AC7" s="973"/>
      <c r="AD7" s="973"/>
      <c r="AE7" s="1483"/>
      <c r="AF7" s="2393"/>
      <c r="AG7" s="2263" t="s">
        <v>63</v>
      </c>
      <c r="AH7" s="2395"/>
      <c r="AI7" s="2263" t="s">
        <v>63</v>
      </c>
      <c r="AJ7" s="1665"/>
      <c r="AK7" s="24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3">
        <f>STRCHECKDATE(V8:AJ8)</f>
      </c>
      <c r="AM7" s="722"/>
      <c r="AN7" s="722" t="str">
        <f>IF(T7="","",T7)</f>
        <v/>
      </c>
      <c r="AO7" s="722"/>
      <c r="AP7" s="722"/>
    </row>
    <row customHeight="1" ht="14.25" hidden="1">
      <c r="A8" s="1590"/>
      <c r="B8" s="1590"/>
      <c r="C8" s="1590"/>
      <c r="D8" s="1590"/>
      <c r="E8" s="2389"/>
      <c r="F8" s="2389"/>
      <c r="G8" s="2389"/>
      <c r="H8" s="2389"/>
      <c r="I8" s="2391"/>
      <c r="J8" s="2391"/>
      <c r="K8" s="2390"/>
      <c r="L8" s="1591"/>
      <c r="P8" s="2392"/>
      <c r="Q8" s="2392"/>
      <c r="R8" s="579"/>
      <c r="S8" s="1717"/>
      <c r="T8" s="522"/>
      <c r="U8" s="522"/>
      <c r="V8" s="547"/>
      <c r="W8" s="547"/>
      <c r="X8" s="550" t="str">
        <f>Y7&amp;"-"&amp;AA7</f>
        <v>-</v>
      </c>
      <c r="Y8" s="2394"/>
      <c r="Z8" s="2263"/>
      <c r="AA8" s="2394"/>
      <c r="AB8" s="2263"/>
      <c r="AC8" s="547"/>
      <c r="AD8" s="547"/>
      <c r="AE8" s="550" t="str">
        <f>AF7&amp;"-"&amp;AH7</f>
        <v>-</v>
      </c>
      <c r="AF8" s="2394"/>
      <c r="AG8" s="2263"/>
      <c r="AH8" s="2396"/>
      <c r="AI8" s="2263"/>
      <c r="AJ8" s="1666"/>
      <c r="AK8" s="2481"/>
      <c r="AM8" s="722"/>
      <c r="AN8" s="722" t="str">
        <f>IF(T8="","",T8)</f>
        <v/>
      </c>
      <c r="AO8" s="722"/>
      <c r="AP8" s="722"/>
    </row>
    <row customHeight="1" ht="21" hidden="1">
      <c r="A9" s="1590"/>
      <c r="B9" s="1590"/>
      <c r="C9" s="1590"/>
      <c r="D9" s="1590"/>
      <c r="E9" s="2389"/>
      <c r="F9" s="2389"/>
      <c r="G9" s="2389"/>
      <c r="H9" s="2389"/>
      <c r="I9" s="2391"/>
      <c r="J9" s="2390"/>
      <c r="K9" s="1590"/>
      <c r="L9" s="1591"/>
      <c r="P9" s="2392"/>
      <c r="Q9" s="2392"/>
      <c r="R9" s="578"/>
      <c r="S9" s="1505"/>
      <c r="T9" s="509" t="s">
        <v>590</v>
      </c>
      <c r="U9" s="589"/>
      <c r="V9" s="589"/>
      <c r="W9" s="589"/>
      <c r="X9" s="589"/>
      <c r="Y9" s="589"/>
      <c r="Z9" s="589"/>
      <c r="AA9" s="589"/>
      <c r="AB9" s="589"/>
      <c r="AC9" s="589"/>
      <c r="AD9" s="589"/>
      <c r="AE9" s="589"/>
      <c r="AF9" s="589"/>
      <c r="AG9" s="589"/>
      <c r="AH9" s="589"/>
      <c r="AI9" s="589"/>
      <c r="AJ9" s="589"/>
      <c r="AK9" s="1484" t="s">
        <v>591</v>
      </c>
      <c r="AM9" s="722"/>
      <c r="AN9" s="722" t="str">
        <f>IF(T9="","",T9)</f>
        <v>Добавить значение признака дифференциации</v>
      </c>
      <c r="AO9" s="722"/>
      <c r="AP9" s="722"/>
    </row>
    <row customHeight="1" ht="21" hidden="1">
      <c r="A10" s="1590"/>
      <c r="B10" s="1590"/>
      <c r="C10" s="1590"/>
      <c r="D10" s="1590"/>
      <c r="E10" s="2389"/>
      <c r="F10" s="2389"/>
      <c r="G10" s="2389"/>
      <c r="H10" s="2389"/>
      <c r="I10" s="2390"/>
      <c r="J10" s="1590"/>
      <c r="K10" s="1590"/>
      <c r="L10" s="1591"/>
      <c r="P10" s="2392"/>
      <c r="Q10" s="1708"/>
      <c r="R10" s="578"/>
      <c r="S10" s="1505"/>
      <c r="T10" s="587" t="s">
        <v>518</v>
      </c>
      <c r="U10" s="589"/>
      <c r="V10" s="589"/>
      <c r="W10" s="589"/>
      <c r="X10" s="589"/>
      <c r="Y10" s="589"/>
      <c r="Z10" s="589"/>
      <c r="AA10" s="589"/>
      <c r="AB10" s="588"/>
      <c r="AC10" s="589"/>
      <c r="AD10" s="589"/>
      <c r="AE10" s="589"/>
      <c r="AF10" s="589"/>
      <c r="AG10" s="589"/>
      <c r="AH10" s="589"/>
      <c r="AI10" s="588"/>
      <c r="AJ10" s="589"/>
      <c r="AK10" s="1667"/>
      <c r="AM10" s="722"/>
      <c r="AN10" s="722" t="str">
        <f>IF(T10="","",T10)</f>
        <v>Добавить группу потребителей</v>
      </c>
      <c r="AO10" s="722"/>
      <c r="AP10" s="722"/>
    </row>
    <row customHeight="1" ht="21" hidden="1">
      <c r="A11" s="1590"/>
      <c r="B11" s="1590"/>
      <c r="C11" s="1590"/>
      <c r="D11" s="1590"/>
      <c r="E11" s="2389"/>
      <c r="F11" s="2389"/>
      <c r="G11" s="2389"/>
      <c r="H11" s="2388"/>
      <c r="I11" s="1590"/>
      <c r="J11" s="1590"/>
      <c r="K11" s="1590"/>
      <c r="L11" s="1591"/>
      <c r="M11" s="1592"/>
      <c r="N11" s="1592"/>
      <c r="O11" s="759"/>
      <c r="P11" s="582"/>
      <c r="Q11" s="597"/>
      <c r="R11" s="577"/>
      <c r="S11" s="1505"/>
      <c r="T11" s="594" t="s">
        <v>592</v>
      </c>
      <c r="U11" s="589"/>
      <c r="V11" s="589"/>
      <c r="W11" s="589"/>
      <c r="X11" s="589"/>
      <c r="Y11" s="589"/>
      <c r="Z11" s="589"/>
      <c r="AA11" s="589"/>
      <c r="AB11" s="588"/>
      <c r="AC11" s="589"/>
      <c r="AD11" s="589"/>
      <c r="AE11" s="589"/>
      <c r="AF11" s="589"/>
      <c r="AG11" s="589"/>
      <c r="AH11" s="589"/>
      <c r="AI11" s="588"/>
      <c r="AJ11" s="589"/>
      <c r="AK11" s="525"/>
      <c r="AM11" s="722"/>
      <c r="AN11" s="722" t="str">
        <f>IF(T11="","",T11)</f>
        <v>Добавить наименование признака дифференциации</v>
      </c>
      <c r="AO11" s="722"/>
      <c r="AP11" s="722"/>
    </row>
    <row s="16531" customFormat="1" customHeight="1" ht="14.25" hidden="1">
      <c r="A12" s="1570"/>
      <c r="B12" s="1570"/>
      <c r="C12" s="1541"/>
      <c r="D12" s="1541"/>
      <c r="E12" s="2389"/>
      <c r="F12" s="2388"/>
      <c r="G12" s="1541"/>
      <c r="H12" s="1541"/>
      <c r="I12" s="1541"/>
      <c r="J12" s="1541"/>
      <c r="K12" s="1541"/>
      <c r="L12" s="1721"/>
      <c r="M12" s="1548"/>
      <c r="N12" s="1548"/>
      <c r="P12" s="1543"/>
      <c r="Q12" s="1544"/>
      <c r="R12" s="1543"/>
      <c r="S12" s="1549"/>
      <c r="T12" s="1552" t="s">
        <v>305</v>
      </c>
      <c r="U12" s="1551"/>
      <c r="V12" s="1551"/>
      <c r="W12" s="1551"/>
      <c r="X12" s="1551"/>
      <c r="Y12" s="1551"/>
      <c r="Z12" s="1551"/>
      <c r="AA12" s="1551"/>
      <c r="AB12" s="1551"/>
      <c r="AC12" s="1551"/>
      <c r="AD12" s="1551"/>
      <c r="AE12" s="1551"/>
      <c r="AF12" s="1551"/>
      <c r="AG12" s="1551"/>
      <c r="AH12" s="1551"/>
      <c r="AI12" s="1551"/>
      <c r="AJ12" s="1551"/>
      <c r="AK12" s="1551"/>
      <c r="AM12" s="1011"/>
      <c r="AN12" s="1011" t="str">
        <f>IF(T12="","",T12)</f>
        <v>Добавить централизованную систему для дифференциации</v>
      </c>
      <c r="AO12" s="1011"/>
      <c r="AP12" s="1011"/>
    </row>
    <row s="16622" customFormat="1" customHeight="1" ht="14.25" hidden="1">
      <c r="A13" s="1570"/>
      <c r="B13" s="1570"/>
      <c r="C13" s="1570"/>
      <c r="D13" s="1570"/>
      <c r="E13" s="2388"/>
      <c r="F13" s="1570"/>
      <c r="G13" s="1570"/>
      <c r="H13" s="1570"/>
      <c r="I13" s="1570"/>
      <c r="J13" s="1570"/>
      <c r="K13" s="1570"/>
      <c r="L13" s="1573"/>
      <c r="M13" s="1548"/>
      <c r="N13" s="1548"/>
      <c r="O13" s="740"/>
      <c r="P13" s="602"/>
      <c r="Q13" s="1571"/>
      <c r="R13" s="602"/>
      <c r="S13" s="1549"/>
      <c r="T13" s="1552" t="s">
        <v>358</v>
      </c>
      <c r="U13" s="1551"/>
      <c r="V13" s="1551"/>
      <c r="W13" s="1551"/>
      <c r="X13" s="1551"/>
      <c r="Y13" s="1551"/>
      <c r="Z13" s="1551"/>
      <c r="AA13" s="1551"/>
      <c r="AB13" s="1551"/>
      <c r="AC13" s="1551"/>
      <c r="AD13" s="1551"/>
      <c r="AE13" s="1551"/>
      <c r="AF13" s="1551"/>
      <c r="AG13" s="1551"/>
      <c r="AH13" s="1551"/>
      <c r="AI13" s="1551"/>
      <c r="AJ13" s="1551"/>
      <c r="AK13" s="1551"/>
      <c r="AM13" s="722"/>
      <c r="AN13" s="722" t="str">
        <f>IF(T13="","",T13)</f>
        <v>Добавить территорию для дифференциации</v>
      </c>
      <c r="AO13" s="722"/>
      <c r="AP13" s="722"/>
    </row>
    <row customHeight="1" ht="14.25" hidden="1">
      <c r="AB14" s="549"/>
      <c r="AI14" s="549"/>
    </row>
    <row customHeight="1" ht="14.25" hidden="1">
      <c r="AC15" s="1587"/>
      <c r="AD15" s="1587"/>
      <c r="AE15" s="1588"/>
      <c r="AF15" s="2386"/>
      <c r="AG15" s="2385" t="s">
        <v>63</v>
      </c>
      <c r="AH15" s="2386"/>
      <c r="AI15" s="2385" t="s">
        <v>63</v>
      </c>
    </row>
    <row customHeight="1" ht="14.25" hidden="1">
      <c r="AC16" s="1587"/>
      <c r="AD16" s="1587"/>
      <c r="AE16" s="550" t="str">
        <f>AF15&amp;"-"&amp;AH15</f>
        <v>-</v>
      </c>
      <c r="AF16" s="2385"/>
      <c r="AG16" s="2385"/>
      <c r="AH16" s="2385"/>
      <c r="AI16" s="2385"/>
    </row>
    <row customHeight="1" ht="14.25" hidden="1">
      <c r="AI17" s="549"/>
    </row>
    <row s="16550" customFormat="1" customHeight="1" ht="22.5" hidden="1">
      <c r="L18" s="1705"/>
      <c r="M18" s="1589"/>
      <c r="N18" s="1589"/>
      <c r="O18" s="1594" t="s">
        <v>521</v>
      </c>
      <c r="P18" s="1589"/>
      <c r="Q18" s="1598"/>
      <c r="R18" s="1598"/>
      <c r="S18" s="951"/>
      <c r="Y18" s="1594"/>
      <c r="AA18" s="1594"/>
      <c r="AB18" s="1593"/>
      <c r="AF18" s="1594"/>
      <c r="AH18" s="1594"/>
      <c r="AI18" s="1593"/>
      <c r="AL18" s="733"/>
      <c r="AM18" s="733"/>
      <c r="AN18" s="733"/>
      <c r="AO18" s="733"/>
      <c r="AP18" s="733"/>
    </row>
    <row s="16550" customFormat="1" customHeight="1" ht="14.25" hidden="1">
      <c r="L19" s="1705"/>
      <c r="M19" s="1589"/>
      <c r="N19" s="1589"/>
      <c r="O19" s="1589"/>
      <c r="P19" s="1589"/>
      <c r="Q19" s="1598"/>
      <c r="R19" s="1598"/>
      <c r="S19" s="951"/>
      <c r="AB19" s="1593"/>
      <c r="AI19" s="1593"/>
      <c r="AL19" s="733"/>
      <c r="AM19" s="733"/>
      <c r="AN19" s="733"/>
      <c r="AO19" s="733"/>
      <c r="AP19" s="733"/>
    </row>
    <row s="16550" customFormat="1" customHeight="1" ht="12" hidden="1">
      <c r="L20" s="1705"/>
      <c r="M20" s="1589"/>
      <c r="N20" s="1589"/>
      <c r="O20" s="1591" t="s">
        <v>522</v>
      </c>
      <c r="P20" s="1589"/>
      <c r="Q20" s="1669"/>
      <c r="R20" s="1669"/>
      <c r="S20" s="951"/>
      <c r="T20" s="1384" t="s">
        <v>523</v>
      </c>
      <c r="Z20" s="408" t="s">
        <v>524</v>
      </c>
      <c r="AB20" s="408" t="s">
        <v>525</v>
      </c>
      <c r="AC20" s="1384" t="s">
        <v>523</v>
      </c>
      <c r="AG20" s="408" t="s">
        <v>526</v>
      </c>
      <c r="AI20" s="408" t="s">
        <v>525</v>
      </c>
    </row>
    <row customHeight="1" ht="14.25" hidden="1">
      <c r="O21" s="1591"/>
    </row>
    <row customHeight="1" ht="14.25" hidden="1">
      <c r="O22" s="1591"/>
    </row>
    <row customHeight="1" ht="14.25">
      <c r="Q23" s="598"/>
      <c r="R23" s="598"/>
      <c r="S23" s="1502"/>
      <c r="T23" s="585"/>
      <c r="U23" s="585"/>
      <c r="V23" s="731"/>
      <c r="W23" s="731"/>
      <c r="X23" s="731"/>
      <c r="Y23" s="731"/>
      <c r="Z23" s="731"/>
      <c r="AA23" s="731"/>
      <c r="AB23" s="731"/>
      <c r="AC23" s="731"/>
      <c r="AD23" s="731"/>
      <c r="AE23" s="731"/>
      <c r="AF23" s="731"/>
      <c r="AG23" s="731"/>
      <c r="AH23" s="731"/>
      <c r="AI23" s="731"/>
    </row>
    <row customHeight="1" ht="14.25">
      <c r="Q24" s="598"/>
      <c r="R24" s="598"/>
      <c r="S24" s="24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21"/>
      <c r="U24" s="2421"/>
      <c r="V24" s="2421"/>
      <c r="W24" s="2421"/>
      <c r="X24" s="2421"/>
      <c r="Y24" s="2421"/>
      <c r="Z24" s="2421"/>
      <c r="AA24" s="2421"/>
      <c r="AB24" s="2421"/>
      <c r="AC24" s="2421"/>
      <c r="AD24" s="2421"/>
      <c r="AE24" s="2421"/>
      <c r="AF24" s="2421"/>
      <c r="AG24" s="2421"/>
      <c r="AH24" s="2421"/>
      <c r="AI24" s="1469"/>
    </row>
    <row customHeight="1" ht="14.25">
      <c r="Q25" s="598"/>
      <c r="R25" s="598"/>
      <c r="S25" s="2422" t="str">
        <f>IF(org=0,"Не определено",org)</f>
        <v>КГУП "Примтеплоэнерго"</v>
      </c>
      <c r="T25" s="2422"/>
      <c r="U25" s="2422"/>
      <c r="V25" s="2422"/>
      <c r="W25" s="2422"/>
      <c r="X25" s="2422"/>
      <c r="Y25" s="2422"/>
      <c r="Z25" s="2422"/>
      <c r="AA25" s="2422"/>
      <c r="AB25" s="2422"/>
      <c r="AC25" s="2422"/>
      <c r="AD25" s="2422"/>
      <c r="AE25" s="2422"/>
      <c r="AF25" s="2422"/>
      <c r="AG25" s="2422"/>
      <c r="AH25" s="2422"/>
      <c r="AI25" s="1469"/>
    </row>
    <row customHeight="1" ht="14.25" hidden="1">
      <c r="Q26" s="598"/>
      <c r="R26" s="598"/>
      <c r="S26" s="1502"/>
      <c r="T26" s="585"/>
      <c r="U26" s="585"/>
      <c r="V26" s="544"/>
      <c r="W26" s="544"/>
      <c r="X26" s="544"/>
      <c r="Y26" s="544"/>
      <c r="Z26" s="544"/>
      <c r="AA26" s="544"/>
      <c r="AB26" s="544"/>
      <c r="AC26" s="544"/>
      <c r="AD26" s="544"/>
      <c r="AE26" s="544"/>
      <c r="AF26" s="544"/>
      <c r="AG26" s="544"/>
      <c r="AH26" s="544"/>
      <c r="AI26" s="544"/>
      <c r="AJ26" s="731"/>
    </row>
    <row s="16563" customFormat="1" customHeight="1" ht="25.5" hidden="1">
      <c r="A27" s="1595"/>
      <c r="B27" s="1595"/>
      <c r="C27" s="1595"/>
      <c r="D27" s="1595"/>
      <c r="E27" s="1595"/>
      <c r="F27" s="1595"/>
      <c r="G27" s="1595"/>
      <c r="H27" s="1595"/>
      <c r="I27" s="1595"/>
      <c r="J27" s="1595"/>
      <c r="K27" s="1595"/>
      <c r="L27" s="1596"/>
      <c r="M27" s="1595"/>
      <c r="N27" s="1595"/>
      <c r="O27" s="1595"/>
      <c r="S27" s="2379" t="s">
        <v>38</v>
      </c>
      <c r="T27" s="2379"/>
      <c r="U27" s="1599"/>
      <c r="V27" s="2381" t="str">
        <f>IF(TITLE_NAME_OR_PR_CHANGE="",IF(TITLE_NAME_OR_PR="","",TITLE_NAME_OR_PR),TITLE_NAME_OR_PR_CHANGE)</f>
        <v/>
      </c>
      <c r="W27" s="2381"/>
      <c r="X27" s="2381"/>
      <c r="Y27" s="2381"/>
      <c r="Z27" s="2381"/>
      <c r="AA27" s="2381"/>
      <c r="AB27" s="548"/>
      <c r="AC27" s="2381" t="str">
        <f>IF(TITLE_NAME_OR_PR_CHANGE="",IF(TITLE_NAME_OR_PR="","",TITLE_NAME_OR_PR),TITLE_NAME_OR_PR_CHANGE)</f>
        <v/>
      </c>
      <c r="AD27" s="2381"/>
      <c r="AE27" s="2381"/>
      <c r="AF27" s="2381"/>
      <c r="AG27" s="2381"/>
      <c r="AH27" s="2381"/>
      <c r="AI27" s="548"/>
      <c r="AJ27" s="548"/>
      <c r="AK27" s="502"/>
      <c r="AL27" s="590"/>
      <c r="AM27" s="590"/>
      <c r="AN27" s="590"/>
      <c r="AO27" s="590"/>
      <c r="AP27" s="590"/>
    </row>
    <row s="16563" customFormat="1" customHeight="1" ht="18.75" hidden="1">
      <c r="A28" s="1595"/>
      <c r="B28" s="1595"/>
      <c r="C28" s="1595"/>
      <c r="D28" s="1595"/>
      <c r="E28" s="1595"/>
      <c r="F28" s="1595"/>
      <c r="G28" s="1595"/>
      <c r="H28" s="1595"/>
      <c r="I28" s="1595"/>
      <c r="J28" s="1595"/>
      <c r="K28" s="1595"/>
      <c r="L28" s="1596"/>
      <c r="M28" s="1595"/>
      <c r="N28" s="1595"/>
      <c r="O28" s="1595"/>
      <c r="S28" s="2379" t="s">
        <v>527</v>
      </c>
      <c r="T28" s="2379"/>
      <c r="U28" s="1599"/>
      <c r="V28" s="2380" t="str">
        <f>IF(TITLE_DATE_PR_CHANGE="",IF(TITLE_DATE_PR="","",TITLE_DATE_PR),TITLE_DATE_PR_CHANGE)</f>
        <v>45407.47206018519</v>
      </c>
      <c r="W28" s="2380"/>
      <c r="X28" s="2380"/>
      <c r="Y28" s="2380"/>
      <c r="Z28" s="2380"/>
      <c r="AA28" s="2380"/>
      <c r="AB28" s="548"/>
      <c r="AC28" s="2380" t="str">
        <f>IF(TITLE_DATE_PR_CHANGE="",IF(TITLE_DATE_PR="","",TITLE_DATE_PR),TITLE_DATE_PR_CHANGE)</f>
        <v>45407.47206018519</v>
      </c>
      <c r="AD28" s="2380"/>
      <c r="AE28" s="2380"/>
      <c r="AF28" s="2380"/>
      <c r="AG28" s="2380"/>
      <c r="AH28" s="2380"/>
      <c r="AI28" s="548"/>
      <c r="AJ28" s="548"/>
      <c r="AK28" s="502"/>
      <c r="AL28" s="590"/>
      <c r="AM28" s="590"/>
      <c r="AN28" s="590"/>
      <c r="AO28" s="590"/>
      <c r="AP28" s="590"/>
    </row>
    <row s="16563" customFormat="1" customHeight="1" ht="18.75" hidden="1">
      <c r="A29" s="1595"/>
      <c r="B29" s="1595"/>
      <c r="C29" s="1595"/>
      <c r="D29" s="1595"/>
      <c r="E29" s="1595"/>
      <c r="F29" s="1595"/>
      <c r="G29" s="1595"/>
      <c r="H29" s="1595"/>
      <c r="I29" s="1595"/>
      <c r="J29" s="1595"/>
      <c r="K29" s="1595"/>
      <c r="L29" s="1596"/>
      <c r="M29" s="1595"/>
      <c r="N29" s="1595"/>
      <c r="O29" s="1595"/>
      <c r="S29" s="2379" t="s">
        <v>528</v>
      </c>
      <c r="T29" s="2379"/>
      <c r="U29" s="1599"/>
      <c r="V29" s="2381" t="str">
        <f>IF(TITLE_NUMBER_PR_CHANGE="",IF(TITLE_NUMBER_PR="","",TITLE_NUMBER_PR),TITLE_NUMBER_PR_CHANGE)</f>
        <v>27-2067</v>
      </c>
      <c r="W29" s="2381"/>
      <c r="X29" s="2381"/>
      <c r="Y29" s="2381"/>
      <c r="Z29" s="2381"/>
      <c r="AA29" s="2381"/>
      <c r="AB29" s="548"/>
      <c r="AC29" s="2381" t="str">
        <f>IF(TITLE_NUMBER_PR_CHANGE="",IF(TITLE_NUMBER_PR="","",TITLE_NUMBER_PR),TITLE_NUMBER_PR_CHANGE)</f>
        <v>27-2067</v>
      </c>
      <c r="AD29" s="2381"/>
      <c r="AE29" s="2381"/>
      <c r="AF29" s="2381"/>
      <c r="AG29" s="2381"/>
      <c r="AH29" s="2381"/>
      <c r="AI29" s="548"/>
      <c r="AJ29" s="548"/>
      <c r="AK29" s="502"/>
      <c r="AL29" s="590"/>
      <c r="AM29" s="590"/>
      <c r="AN29" s="590"/>
      <c r="AO29" s="590"/>
      <c r="AP29" s="590"/>
    </row>
    <row s="16563" customFormat="1" customHeight="1" ht="18.75" hidden="1">
      <c r="A30" s="1595"/>
      <c r="B30" s="1595"/>
      <c r="C30" s="1595"/>
      <c r="D30" s="1595"/>
      <c r="E30" s="1595"/>
      <c r="F30" s="1595"/>
      <c r="G30" s="1595"/>
      <c r="H30" s="1595"/>
      <c r="I30" s="1595"/>
      <c r="J30" s="1595"/>
      <c r="K30" s="1595"/>
      <c r="L30" s="1596"/>
      <c r="M30" s="1595"/>
      <c r="N30" s="1595"/>
      <c r="O30" s="1595"/>
      <c r="S30" s="2379" t="s">
        <v>39</v>
      </c>
      <c r="T30" s="2379"/>
      <c r="U30" s="1599"/>
      <c r="V30" s="2381" t="str">
        <f>IF(TITLE_IST_PUB_CHANGE="",IF(TITLE_IST_PUB="","",TITLE_IST_PUB),TITLE_IST_PUB_CHANGE)</f>
        <v/>
      </c>
      <c r="W30" s="2381"/>
      <c r="X30" s="2381"/>
      <c r="Y30" s="2381"/>
      <c r="Z30" s="2381"/>
      <c r="AA30" s="2381"/>
      <c r="AB30" s="548"/>
      <c r="AC30" s="2381" t="str">
        <f>IF(TITLE_IST_PUB_CHANGE="",IF(TITLE_IST_PUB="","",TITLE_IST_PUB),TITLE_IST_PUB_CHANGE)</f>
        <v/>
      </c>
      <c r="AD30" s="2381"/>
      <c r="AE30" s="2381"/>
      <c r="AF30" s="2381"/>
      <c r="AG30" s="2381"/>
      <c r="AH30" s="2381"/>
      <c r="AI30" s="548"/>
      <c r="AJ30" s="548"/>
      <c r="AK30" s="502"/>
      <c r="AL30" s="590"/>
      <c r="AM30" s="590"/>
      <c r="AN30" s="590"/>
      <c r="AO30" s="590"/>
      <c r="AP30" s="590"/>
    </row>
    <row customHeight="1" ht="14.25">
      <c r="Q31" s="598"/>
      <c r="R31" s="598"/>
      <c r="S31" s="1502"/>
      <c r="T31" s="585"/>
      <c r="U31" s="585"/>
      <c r="V31" s="544"/>
      <c r="W31" s="544"/>
      <c r="X31" s="544"/>
      <c r="Y31" s="544"/>
      <c r="Z31" s="544"/>
      <c r="AA31" s="544"/>
      <c r="AB31" s="544"/>
      <c r="AC31" s="544"/>
      <c r="AD31" s="544"/>
      <c r="AE31" s="544"/>
      <c r="AF31" s="544"/>
      <c r="AG31" s="544"/>
      <c r="AH31" s="544"/>
      <c r="AI31" s="544"/>
      <c r="AJ31" s="731"/>
    </row>
    <row s="16563" customFormat="1" customHeight="1" ht="18.75">
      <c r="A32" s="1595"/>
      <c r="B32" s="1595"/>
      <c r="C32" s="1595"/>
      <c r="D32" s="1595"/>
      <c r="E32" s="1595"/>
      <c r="F32" s="1595"/>
      <c r="G32" s="1595"/>
      <c r="H32" s="1595"/>
      <c r="I32" s="1595"/>
      <c r="J32" s="1595"/>
      <c r="K32" s="1595"/>
      <c r="L32" s="1596"/>
      <c r="M32" s="1595"/>
      <c r="N32" s="1595"/>
      <c r="O32" s="1595"/>
      <c r="S32" s="2379" t="s">
        <v>529</v>
      </c>
      <c r="T32" s="2379"/>
      <c r="U32" s="1599"/>
      <c r="V32" s="2380" t="str">
        <f>IF(TITLE_DATE_PR_CHANGE="",IF(TITLE_DATE_PR="","",TITLE_DATE_PR),TITLE_DATE_PR_CHANGE)</f>
        <v>45407.47206018519</v>
      </c>
      <c r="W32" s="2380"/>
      <c r="X32" s="2380"/>
      <c r="Y32" s="2380"/>
      <c r="Z32" s="2380"/>
      <c r="AA32" s="2380"/>
      <c r="AB32" s="548"/>
      <c r="AC32" s="2380" t="str">
        <f>IF(TITLE_DATE_PR_CHANGE="",IF(TITLE_DATE_PR="","",TITLE_DATE_PR),TITLE_DATE_PR_CHANGE)</f>
        <v>45407.47206018519</v>
      </c>
      <c r="AD32" s="2380"/>
      <c r="AE32" s="2380"/>
      <c r="AF32" s="2380"/>
      <c r="AG32" s="2380"/>
      <c r="AH32" s="2380"/>
      <c r="AI32" s="548"/>
      <c r="AJ32" s="548"/>
      <c r="AK32" s="502"/>
      <c r="AL32" s="590"/>
      <c r="AM32" s="590"/>
      <c r="AN32" s="590"/>
      <c r="AO32" s="590"/>
      <c r="AP32" s="590"/>
    </row>
    <row s="16563" customFormat="1" customHeight="1" ht="18.75">
      <c r="A33" s="1595"/>
      <c r="B33" s="1595"/>
      <c r="C33" s="1595"/>
      <c r="D33" s="1595"/>
      <c r="E33" s="1595"/>
      <c r="F33" s="1595"/>
      <c r="G33" s="1595"/>
      <c r="H33" s="1595"/>
      <c r="I33" s="1595"/>
      <c r="J33" s="1595"/>
      <c r="K33" s="1595"/>
      <c r="L33" s="1596"/>
      <c r="M33" s="1595"/>
      <c r="N33" s="1595"/>
      <c r="O33" s="1595"/>
      <c r="S33" s="2379" t="s">
        <v>530</v>
      </c>
      <c r="T33" s="2379"/>
      <c r="U33" s="1599"/>
      <c r="V33" s="2381" t="str">
        <f>IF(TITLE_NUMBER_PR_CHANGE="",IF(TITLE_NUMBER_PR="","",TITLE_NUMBER_PR),TITLE_NUMBER_PR_CHANGE)</f>
        <v>27-2067</v>
      </c>
      <c r="W33" s="2381"/>
      <c r="X33" s="2381"/>
      <c r="Y33" s="2381"/>
      <c r="Z33" s="2381"/>
      <c r="AA33" s="2381"/>
      <c r="AB33" s="548"/>
      <c r="AC33" s="2381" t="str">
        <f>IF(TITLE_NUMBER_PR_CHANGE="",IF(TITLE_NUMBER_PR="","",TITLE_NUMBER_PR),TITLE_NUMBER_PR_CHANGE)</f>
        <v>27-2067</v>
      </c>
      <c r="AD33" s="2381"/>
      <c r="AE33" s="2381"/>
      <c r="AF33" s="2381"/>
      <c r="AG33" s="2381"/>
      <c r="AH33" s="2381"/>
      <c r="AI33" s="548"/>
      <c r="AJ33" s="548"/>
      <c r="AK33" s="502"/>
      <c r="AL33" s="590"/>
      <c r="AM33" s="590"/>
      <c r="AN33" s="590"/>
      <c r="AO33" s="590"/>
      <c r="AP33" s="590"/>
    </row>
    <row s="16563" customFormat="1" customHeight="1" ht="0.75">
      <c r="A34" s="1595"/>
      <c r="B34" s="1595"/>
      <c r="C34" s="1595"/>
      <c r="D34" s="1595"/>
      <c r="E34" s="1595"/>
      <c r="F34" s="1595"/>
      <c r="G34" s="1595"/>
      <c r="H34" s="1595"/>
      <c r="I34" s="1595"/>
      <c r="J34" s="1595"/>
      <c r="K34" s="1595"/>
      <c r="L34" s="1596"/>
      <c r="M34" s="1595"/>
      <c r="N34" s="1595"/>
      <c r="O34" s="1595"/>
      <c r="S34" s="545"/>
      <c r="T34" s="545"/>
      <c r="U34" s="1715"/>
      <c r="V34" s="548"/>
      <c r="W34" s="548"/>
      <c r="X34" s="548"/>
      <c r="Y34" s="548"/>
      <c r="Z34" s="548"/>
      <c r="AA34" s="548"/>
      <c r="AB34" s="500" t="s">
        <v>531</v>
      </c>
      <c r="AC34" s="548"/>
      <c r="AD34" s="548"/>
      <c r="AE34" s="548"/>
      <c r="AF34" s="548"/>
      <c r="AG34" s="548"/>
      <c r="AH34" s="548"/>
      <c r="AI34" s="500" t="s">
        <v>531</v>
      </c>
      <c r="AL34" s="590"/>
      <c r="AM34" s="590"/>
      <c r="AN34" s="590"/>
      <c r="AO34" s="590"/>
      <c r="AP34" s="590"/>
    </row>
    <row customHeight="1" ht="14.25">
      <c r="Q35" s="598"/>
      <c r="R35" s="598"/>
      <c r="S35" s="1502"/>
      <c r="T35" s="585"/>
      <c r="U35" s="1470"/>
      <c r="V35" s="2405"/>
      <c r="W35" s="2405"/>
      <c r="X35" s="2405"/>
      <c r="Y35" s="2405"/>
      <c r="Z35" s="2405"/>
      <c r="AA35" s="2405"/>
      <c r="AB35" s="2405"/>
      <c r="AC35" s="2405"/>
      <c r="AD35" s="2405"/>
      <c r="AE35" s="2405"/>
      <c r="AF35" s="2405"/>
      <c r="AG35" s="2405"/>
      <c r="AH35" s="2405"/>
      <c r="AI35" s="2405"/>
    </row>
    <row customHeight="1" ht="14.25">
      <c r="Q36" s="598"/>
      <c r="R36" s="598"/>
      <c r="S36" s="2253" t="s">
        <v>406</v>
      </c>
      <c r="T36" s="2253"/>
      <c r="U36" s="2253"/>
      <c r="V36" s="2253"/>
      <c r="W36" s="2253"/>
      <c r="X36" s="2253"/>
      <c r="Y36" s="2253"/>
      <c r="Z36" s="2253"/>
      <c r="AA36" s="2253"/>
      <c r="AB36" s="2253"/>
      <c r="AC36" s="2253"/>
      <c r="AD36" s="2253"/>
      <c r="AE36" s="2253"/>
      <c r="AF36" s="2253"/>
      <c r="AG36" s="2253"/>
      <c r="AH36" s="2253"/>
      <c r="AI36" s="2253"/>
      <c r="AJ36" s="2253"/>
      <c r="AK36" s="2253" t="s">
        <v>407</v>
      </c>
    </row>
    <row customHeight="1" ht="14.25">
      <c r="Q37" s="598"/>
      <c r="R37" s="598"/>
      <c r="S37" s="2406" t="s">
        <v>84</v>
      </c>
      <c r="T37" s="2343" t="s">
        <v>532</v>
      </c>
      <c r="U37" s="523"/>
      <c r="V37" s="2407" t="s">
        <v>533</v>
      </c>
      <c r="W37" s="2408"/>
      <c r="X37" s="2408"/>
      <c r="Y37" s="2408"/>
      <c r="Z37" s="2408"/>
      <c r="AA37" s="2409"/>
      <c r="AB37" s="2410" t="s">
        <v>534</v>
      </c>
      <c r="AC37" s="2407" t="s">
        <v>533</v>
      </c>
      <c r="AD37" s="2408"/>
      <c r="AE37" s="2408"/>
      <c r="AF37" s="2408"/>
      <c r="AG37" s="2408"/>
      <c r="AH37" s="2409"/>
      <c r="AI37" s="2410" t="s">
        <v>535</v>
      </c>
      <c r="AJ37" s="2413" t="s">
        <v>536</v>
      </c>
      <c r="AK37" s="2253"/>
    </row>
    <row customHeight="1" ht="33.75">
      <c r="Q38" s="598"/>
      <c r="R38" s="598"/>
      <c r="S38" s="2406"/>
      <c r="T38" s="2343"/>
      <c r="U38" s="1254"/>
      <c r="V38" s="1710" t="s">
        <v>593</v>
      </c>
      <c r="W38" s="2399" t="s">
        <v>539</v>
      </c>
      <c r="X38" s="2401"/>
      <c r="Y38" s="2399" t="s">
        <v>540</v>
      </c>
      <c r="Z38" s="2400"/>
      <c r="AA38" s="2401"/>
      <c r="AB38" s="2411"/>
      <c r="AC38" s="1710" t="s">
        <v>593</v>
      </c>
      <c r="AD38" s="2399" t="s">
        <v>539</v>
      </c>
      <c r="AE38" s="2401"/>
      <c r="AF38" s="2399" t="s">
        <v>540</v>
      </c>
      <c r="AG38" s="2400"/>
      <c r="AH38" s="2401"/>
      <c r="AI38" s="2411"/>
      <c r="AJ38" s="2414"/>
      <c r="AK38" s="2253"/>
    </row>
    <row customHeight="1" ht="86.25">
      <c r="A39" s="1597"/>
      <c r="B39" s="1597" t="s">
        <v>191</v>
      </c>
      <c r="C39" s="1597" t="s">
        <v>192</v>
      </c>
      <c r="D39" s="1597" t="s">
        <v>193</v>
      </c>
      <c r="E39" s="1591" t="s">
        <v>541</v>
      </c>
      <c r="F39" s="1591" t="s">
        <v>542</v>
      </c>
      <c r="G39" s="1591" t="s">
        <v>543</v>
      </c>
      <c r="H39" s="1591"/>
      <c r="I39" s="1591" t="s">
        <v>594</v>
      </c>
      <c r="J39" s="1591" t="s">
        <v>546</v>
      </c>
      <c r="K39" s="1591" t="s">
        <v>595</v>
      </c>
      <c r="L39" s="1591" t="s">
        <v>522</v>
      </c>
      <c r="Q39" s="598"/>
      <c r="R39" s="598"/>
      <c r="S39" s="2406"/>
      <c r="T39" s="2343"/>
      <c r="U39" s="524"/>
      <c r="V39" s="1710" t="s">
        <v>622</v>
      </c>
      <c r="W39" s="1448" t="s">
        <v>623</v>
      </c>
      <c r="X39" s="1448" t="s">
        <v>598</v>
      </c>
      <c r="Y39" s="1716" t="s">
        <v>550</v>
      </c>
      <c r="Z39" s="2402" t="s">
        <v>551</v>
      </c>
      <c r="AA39" s="2403"/>
      <c r="AB39" s="2412"/>
      <c r="AC39" s="1710" t="s">
        <v>622</v>
      </c>
      <c r="AD39" s="1448" t="s">
        <v>623</v>
      </c>
      <c r="AE39" s="1448" t="s">
        <v>598</v>
      </c>
      <c r="AF39" s="1716" t="s">
        <v>550</v>
      </c>
      <c r="AG39" s="2402" t="s">
        <v>551</v>
      </c>
      <c r="AH39" s="2403"/>
      <c r="AI39" s="2412"/>
      <c r="AJ39" s="2415"/>
      <c r="AK39" s="2253"/>
    </row>
    <row s="16382" customFormat="1" customHeight="1" ht="11.25" hidden="1">
      <c r="A40" s="1597"/>
      <c r="B40" s="1597"/>
      <c r="C40" s="1597"/>
      <c r="D40" s="1597"/>
      <c r="E40" s="1597"/>
      <c r="F40" s="1597"/>
      <c r="G40" s="1597"/>
      <c r="H40" s="1597"/>
      <c r="I40" s="1597"/>
      <c r="J40" s="1597"/>
      <c r="K40" s="1597"/>
      <c r="L40" s="1591"/>
      <c r="M40" s="1589"/>
      <c r="N40" s="1589"/>
      <c r="O40" s="1589"/>
      <c r="P40" s="1472"/>
      <c r="Q40" s="1473"/>
      <c r="R40" s="1480">
        <v>1</v>
      </c>
      <c r="S40" s="1504" t="s">
        <v>168</v>
      </c>
      <c r="T40" s="1481" t="s">
        <v>99</v>
      </c>
      <c r="U40" s="1471" t="str">
        <f>OFFSET(U40,0,-1)</f>
        <v>2</v>
      </c>
      <c r="V40" s="1709">
        <f>OFFSET(V40,0,-1)+1</f>
        <v>3</v>
      </c>
      <c r="W40" s="1709">
        <f>OFFSET(W40,0,-1)+1</f>
        <v>4</v>
      </c>
      <c r="X40" s="1709">
        <f>OFFSET(X40,0,-1)+1</f>
        <v>5</v>
      </c>
      <c r="Y40" s="1709">
        <f>OFFSET(Y40,0,-1)+1</f>
        <v>6</v>
      </c>
      <c r="Z40" s="2404">
        <f>OFFSET(Z40,0,-1)+1</f>
        <v>7</v>
      </c>
      <c r="AA40" s="2404"/>
      <c r="AB40" s="1709">
        <f>OFFSET(AB40,0,-2)+1</f>
        <v>8</v>
      </c>
      <c r="AC40" s="1709">
        <f>OFFSET(AC40,0,-1)+1</f>
        <v>9</v>
      </c>
      <c r="AD40" s="1709">
        <f>OFFSET(AD40,0,-1)+1</f>
        <v>10</v>
      </c>
      <c r="AE40" s="1709">
        <f>OFFSET(AE40,0,-1)+1</f>
        <v>11</v>
      </c>
      <c r="AF40" s="1709">
        <f>OFFSET(AF40,0,-1)+1</f>
        <v>12</v>
      </c>
      <c r="AG40" s="2404">
        <f>OFFSET(AG40,0,-1)+1</f>
        <v>13</v>
      </c>
      <c r="AH40" s="2404"/>
      <c r="AI40" s="1709">
        <f>OFFSET(AI40,0,-2)+1</f>
        <v>14</v>
      </c>
      <c r="AJ40" s="1471">
        <f>OFFSET(AJ40,0,-1)</f>
        <v>14</v>
      </c>
      <c r="AK40" s="1709">
        <f>OFFSET(AK40,0,-1)+1</f>
        <v>15</v>
      </c>
      <c r="AL40" s="733"/>
      <c r="AM40" s="733"/>
      <c r="AN40" s="733"/>
      <c r="AO40" s="733"/>
      <c r="AP40" s="733"/>
    </row>
    <row customHeight="1" ht="23.25">
      <c r="A41" s="1590" t="s">
        <v>372</v>
      </c>
      <c r="B41" s="1590"/>
      <c r="C41" s="1590"/>
      <c r="D41" s="1590"/>
      <c r="E41" s="2388">
        <v>1</v>
      </c>
      <c r="F41" s="1590"/>
      <c r="G41" s="1590"/>
      <c r="H41" s="1590"/>
      <c r="I41" s="1590"/>
      <c r="J41" s="1590"/>
      <c r="K41" s="1590"/>
      <c r="L41" s="1591"/>
      <c r="M41" s="1592"/>
      <c r="N41" s="1592"/>
      <c r="O41" s="1592"/>
      <c r="P41" s="583"/>
      <c r="Q41" s="582"/>
      <c r="R41" s="577"/>
      <c r="S41" s="1720">
        <f>INDEX(PT_DIFFERENTIATION_NUM_NTAR,MATCH(A41,PT_DIFFERENTIATION_NTAR_ID,0))</f>
        <v>0</v>
      </c>
      <c r="T41" s="520" t="s">
        <v>179</v>
      </c>
      <c r="U41" s="522"/>
      <c r="V41" s="2382"/>
      <c r="W41" s="2383"/>
      <c r="X41" s="2383"/>
      <c r="Y41" s="2383"/>
      <c r="Z41" s="2383"/>
      <c r="AA41" s="2383"/>
      <c r="AB41" s="2384"/>
      <c r="AC41" s="2382" t="str">
        <f>INDEX(PT_DIFFERENTIATION_NTAR,MATCH(A41,PT_DIFFERENTIATION_NTAR_ID,0))</f>
        <v/>
      </c>
      <c r="AD41" s="2383"/>
      <c r="AE41" s="2383"/>
      <c r="AF41" s="2383"/>
      <c r="AG41" s="2383"/>
      <c r="AH41" s="2383"/>
      <c r="AI41" s="2383"/>
      <c r="AJ41" s="2384"/>
      <c r="AK41" s="14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2"/>
      <c r="AN41" s="722" t="str">
        <f>IF(T41="","",T41)</f>
        <v>Наименование тарифа</v>
      </c>
      <c r="AO41" s="722"/>
      <c r="AP41" s="722"/>
    </row>
    <row customHeight="1" ht="23.25">
      <c r="A42" s="1590" t="s">
        <v>372</v>
      </c>
      <c r="B42" s="1590" t="s">
        <v>373</v>
      </c>
      <c r="C42" s="1590"/>
      <c r="D42" s="1590"/>
      <c r="E42" s="2389"/>
      <c r="F42" s="2388">
        <v>1</v>
      </c>
      <c r="G42" s="1590"/>
      <c r="H42" s="1590"/>
      <c r="I42" s="1590"/>
      <c r="J42" s="1590"/>
      <c r="K42" s="1590"/>
      <c r="L42" s="1591"/>
      <c r="M42" s="1592"/>
      <c r="N42" s="1592"/>
      <c r="O42" s="1592"/>
      <c r="P42" s="1714"/>
      <c r="Q42" s="574"/>
      <c r="R42" s="575"/>
      <c r="S42" s="1720" t="str">
        <f>INDEX(PT_DIFFERENTIATION_NUM_TER,MATCH(B42,PT_DIFFERENTIATION_TER_ID,0))</f>
        <v>.</v>
      </c>
      <c r="T42" s="530" t="s">
        <v>503</v>
      </c>
      <c r="U42" s="522"/>
      <c r="V42" s="2382"/>
      <c r="W42" s="2383"/>
      <c r="X42" s="2383"/>
      <c r="Y42" s="2383"/>
      <c r="Z42" s="2383"/>
      <c r="AA42" s="2383"/>
      <c r="AB42" s="2384"/>
      <c r="AC42" s="2382" t="str">
        <f>INDEX(PT_DIFFERENTIATION_TER,MATCH(B42,PT_DIFFERENTIATION_TER_ID,0))</f>
        <v/>
      </c>
      <c r="AD42" s="2383"/>
      <c r="AE42" s="2383"/>
      <c r="AF42" s="2383"/>
      <c r="AG42" s="2383"/>
      <c r="AH42" s="2383"/>
      <c r="AI42" s="2383"/>
      <c r="AJ42" s="2384"/>
      <c r="AK42" s="1484" t="s">
        <v>504</v>
      </c>
      <c r="AM42" s="722"/>
      <c r="AN42" s="722" t="str">
        <f>IF(T42="","",T42)</f>
        <v>Территория действия тарифа</v>
      </c>
      <c r="AO42" s="722"/>
      <c r="AP42" s="722"/>
    </row>
    <row customHeight="1" ht="23.25">
      <c r="A43" s="1590" t="s">
        <v>372</v>
      </c>
      <c r="B43" s="1590" t="s">
        <v>373</v>
      </c>
      <c r="C43" s="1590" t="s">
        <v>374</v>
      </c>
      <c r="D43" s="1590"/>
      <c r="E43" s="2389"/>
      <c r="F43" s="2389"/>
      <c r="G43" s="2388">
        <v>1</v>
      </c>
      <c r="H43" s="1590"/>
      <c r="I43" s="1590"/>
      <c r="J43" s="1590"/>
      <c r="K43" s="1590"/>
      <c r="L43" s="1591"/>
      <c r="M43" s="1592"/>
      <c r="N43" s="1592"/>
      <c r="O43" s="1592"/>
      <c r="P43" s="576"/>
      <c r="Q43" s="574"/>
      <c r="R43" s="575"/>
      <c r="S43" s="1720" t="str">
        <f>INDEX(PT_DIFFERENTIATION_NUM_CS,MATCH(C43,PT_DIFFERENTIATION_CS_ID,0))</f>
        <v>..</v>
      </c>
      <c r="T43" s="531" t="s">
        <v>620</v>
      </c>
      <c r="U43" s="522"/>
      <c r="V43" s="2382"/>
      <c r="W43" s="2383"/>
      <c r="X43" s="2383"/>
      <c r="Y43" s="2383"/>
      <c r="Z43" s="2383"/>
      <c r="AA43" s="2383"/>
      <c r="AB43" s="2384"/>
      <c r="AC43" s="2382" t="str">
        <f>INDEX(PT_DIFFERENTIATION_CS,MATCH(C43,PT_DIFFERENTIATION_CS_ID,0))</f>
        <v/>
      </c>
      <c r="AD43" s="2383"/>
      <c r="AE43" s="2383"/>
      <c r="AF43" s="2383"/>
      <c r="AG43" s="2383"/>
      <c r="AH43" s="2383"/>
      <c r="AI43" s="2383"/>
      <c r="AJ43" s="2384"/>
      <c r="AK43" s="1484" t="s">
        <v>621</v>
      </c>
      <c r="AM43" s="722"/>
      <c r="AN43" s="722" t="str">
        <f>IF(T43="","",T43)</f>
        <v>Наименование централизованной системы водоотведения</v>
      </c>
      <c r="AO43" s="722"/>
      <c r="AP43" s="722"/>
    </row>
    <row customHeight="1" ht="23.25">
      <c r="A44" s="1590" t="s">
        <v>372</v>
      </c>
      <c r="B44" s="1590" t="s">
        <v>373</v>
      </c>
      <c r="C44" s="1590" t="s">
        <v>374</v>
      </c>
      <c r="D44" s="1590" t="s">
        <v>624</v>
      </c>
      <c r="E44" s="2389"/>
      <c r="F44" s="2389"/>
      <c r="G44" s="2389"/>
      <c r="H44" s="2389"/>
      <c r="I44" s="2390" t="str">
        <f>S43&amp;".1"</f>
        <v>...1</v>
      </c>
      <c r="J44" s="1590"/>
      <c r="K44" s="1590"/>
      <c r="L44" s="1591"/>
      <c r="P44" s="2392">
        <v>1</v>
      </c>
      <c r="Q44" s="1708"/>
      <c r="R44" s="578"/>
      <c r="S44" s="1720" t="str">
        <f>$I44</f>
        <v>...1</v>
      </c>
      <c r="T44" s="507" t="s">
        <v>587</v>
      </c>
      <c r="U44" s="522"/>
      <c r="V44" s="2475"/>
      <c r="W44" s="2476"/>
      <c r="X44" s="2476"/>
      <c r="Y44" s="2476"/>
      <c r="Z44" s="2476"/>
      <c r="AA44" s="2476"/>
      <c r="AB44" s="2477"/>
      <c r="AC44" s="2478"/>
      <c r="AD44" s="2479"/>
      <c r="AE44" s="2479"/>
      <c r="AF44" s="2479"/>
      <c r="AG44" s="2479"/>
      <c r="AH44" s="2479"/>
      <c r="AI44" s="2479"/>
      <c r="AJ44" s="2480"/>
      <c r="AK44" s="1484" t="s">
        <v>588</v>
      </c>
      <c r="AM44" s="722"/>
      <c r="AN44" s="722" t="str">
        <f>IF(T44="","",T44)</f>
        <v>Наименование признака дифференциации</v>
      </c>
      <c r="AO44" s="722"/>
      <c r="AP44" s="722"/>
    </row>
    <row customHeight="1" ht="23.25">
      <c r="A45" s="1590" t="s">
        <v>372</v>
      </c>
      <c r="B45" s="1590" t="s">
        <v>373</v>
      </c>
      <c r="C45" s="1590" t="s">
        <v>374</v>
      </c>
      <c r="D45" s="1590" t="s">
        <v>624</v>
      </c>
      <c r="E45" s="2389"/>
      <c r="F45" s="2389"/>
      <c r="G45" s="2389"/>
      <c r="H45" s="2389"/>
      <c r="I45" s="2391"/>
      <c r="J45" s="2390" t="str">
        <f>I44&amp;".1"</f>
        <v>...1.1</v>
      </c>
      <c r="K45" s="1590"/>
      <c r="L45" s="1591" t="s">
        <v>512</v>
      </c>
      <c r="P45" s="2392"/>
      <c r="Q45" s="2392">
        <v>1</v>
      </c>
      <c r="R45" s="579"/>
      <c r="S45" s="1720" t="str">
        <f>$J45</f>
        <v>...1.1</v>
      </c>
      <c r="T45" s="508" t="s">
        <v>513</v>
      </c>
      <c r="U45" s="522"/>
      <c r="V45" s="2376"/>
      <c r="W45" s="2377"/>
      <c r="X45" s="2377"/>
      <c r="Y45" s="2377"/>
      <c r="Z45" s="2377"/>
      <c r="AA45" s="2377"/>
      <c r="AB45" s="2378"/>
      <c r="AC45" s="2376"/>
      <c r="AD45" s="2377"/>
      <c r="AE45" s="2377"/>
      <c r="AF45" s="2377"/>
      <c r="AG45" s="2377"/>
      <c r="AH45" s="2377"/>
      <c r="AI45" s="2377"/>
      <c r="AJ45" s="2378"/>
      <c r="AK45" s="1534" t="s">
        <v>589</v>
      </c>
      <c r="AM45" s="722"/>
      <c r="AN45" s="722" t="str">
        <f>IF(T45="","",T45)</f>
        <v>Группа потребителей</v>
      </c>
      <c r="AO45" s="722"/>
      <c r="AP45" s="722"/>
    </row>
    <row customHeight="1" ht="23.25">
      <c r="A46" s="1590" t="s">
        <v>372</v>
      </c>
      <c r="B46" s="1590" t="s">
        <v>373</v>
      </c>
      <c r="C46" s="1590" t="s">
        <v>374</v>
      </c>
      <c r="D46" s="1590" t="s">
        <v>624</v>
      </c>
      <c r="E46" s="2389"/>
      <c r="F46" s="2389"/>
      <c r="G46" s="2389"/>
      <c r="H46" s="2389"/>
      <c r="I46" s="2391"/>
      <c r="J46" s="2391"/>
      <c r="K46" s="2390" t="str">
        <f>J45&amp;".1"</f>
        <v>...1.1.1</v>
      </c>
      <c r="L46" s="1591"/>
      <c r="P46" s="2392"/>
      <c r="Q46" s="2392"/>
      <c r="R46" s="579">
        <v>1</v>
      </c>
      <c r="S46" s="1720" t="str">
        <f>$K46</f>
        <v>...1.1.1</v>
      </c>
      <c r="T46" s="1664"/>
      <c r="U46" s="522"/>
      <c r="V46" s="1587"/>
      <c r="W46" s="1587"/>
      <c r="X46" s="1588"/>
      <c r="Y46" s="2386"/>
      <c r="Z46" s="2385" t="s">
        <v>63</v>
      </c>
      <c r="AA46" s="2386"/>
      <c r="AB46" s="2385" t="s">
        <v>63</v>
      </c>
      <c r="AC46" s="973"/>
      <c r="AD46" s="973"/>
      <c r="AE46" s="1483"/>
      <c r="AF46" s="2393"/>
      <c r="AG46" s="2263" t="s">
        <v>63</v>
      </c>
      <c r="AH46" s="2395"/>
      <c r="AI46" s="2263" t="s">
        <v>53</v>
      </c>
      <c r="AJ46" s="1665"/>
      <c r="AK46" s="24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3">
        <f>STRCHECKDATE(V47:AJ47)</f>
      </c>
      <c r="AM46" s="722"/>
      <c r="AN46" s="722" t="str">
        <f>IF(T46="","",T46)</f>
        <v/>
      </c>
      <c r="AO46" s="722"/>
      <c r="AP46" s="722"/>
    </row>
    <row customHeight="1" ht="0">
      <c r="A47" s="1590" t="s">
        <v>372</v>
      </c>
      <c r="B47" s="1590" t="s">
        <v>373</v>
      </c>
      <c r="C47" s="1590" t="s">
        <v>374</v>
      </c>
      <c r="D47" s="1590" t="s">
        <v>624</v>
      </c>
      <c r="E47" s="2389"/>
      <c r="F47" s="2389"/>
      <c r="G47" s="2389"/>
      <c r="H47" s="2389"/>
      <c r="I47" s="2391"/>
      <c r="J47" s="2391"/>
      <c r="K47" s="2390"/>
      <c r="L47" s="1591"/>
      <c r="P47" s="2392"/>
      <c r="Q47" s="2392"/>
      <c r="R47" s="579"/>
      <c r="S47" s="1717"/>
      <c r="T47" s="522"/>
      <c r="U47" s="522"/>
      <c r="V47" s="1587"/>
      <c r="W47" s="1587"/>
      <c r="X47" s="550" t="str">
        <f>Y46&amp;"-"&amp;AA46</f>
        <v>-</v>
      </c>
      <c r="Y47" s="2385"/>
      <c r="Z47" s="2385"/>
      <c r="AA47" s="2385"/>
      <c r="AB47" s="2385"/>
      <c r="AC47" s="547"/>
      <c r="AD47" s="547"/>
      <c r="AE47" s="550" t="str">
        <f>AF46&amp;"-"&amp;AH46</f>
        <v>-</v>
      </c>
      <c r="AF47" s="2394"/>
      <c r="AG47" s="2263"/>
      <c r="AH47" s="2396"/>
      <c r="AI47" s="2263"/>
      <c r="AJ47" s="1666"/>
      <c r="AK47" s="2481"/>
      <c r="AM47" s="722"/>
      <c r="AN47" s="722" t="str">
        <f>IF(T47="","",T47)</f>
        <v/>
      </c>
      <c r="AO47" s="722"/>
      <c r="AP47" s="722"/>
    </row>
    <row customHeight="1" ht="21">
      <c r="A48" s="1590" t="s">
        <v>372</v>
      </c>
      <c r="B48" s="1590" t="s">
        <v>373</v>
      </c>
      <c r="C48" s="1590" t="s">
        <v>374</v>
      </c>
      <c r="D48" s="1590" t="s">
        <v>624</v>
      </c>
      <c r="E48" s="2389"/>
      <c r="F48" s="2389"/>
      <c r="G48" s="2389"/>
      <c r="H48" s="2389"/>
      <c r="I48" s="2391"/>
      <c r="J48" s="2390"/>
      <c r="K48" s="1590"/>
      <c r="L48" s="1591"/>
      <c r="P48" s="2392"/>
      <c r="Q48" s="2392"/>
      <c r="R48" s="578"/>
      <c r="S48" s="1505"/>
      <c r="T48" s="509" t="s">
        <v>590</v>
      </c>
      <c r="U48" s="589"/>
      <c r="V48" s="589"/>
      <c r="W48" s="589"/>
      <c r="X48" s="589"/>
      <c r="Y48" s="589"/>
      <c r="Z48" s="589"/>
      <c r="AA48" s="589"/>
      <c r="AB48" s="589"/>
      <c r="AC48" s="589"/>
      <c r="AD48" s="589"/>
      <c r="AE48" s="589"/>
      <c r="AF48" s="589"/>
      <c r="AG48" s="589"/>
      <c r="AH48" s="589"/>
      <c r="AI48" s="589"/>
      <c r="AJ48" s="589"/>
      <c r="AK48" s="1484" t="s">
        <v>591</v>
      </c>
      <c r="AM48" s="722"/>
      <c r="AN48" s="722" t="str">
        <f>IF(T48="","",T48)</f>
        <v>Добавить значение признака дифференциации</v>
      </c>
      <c r="AO48" s="722"/>
      <c r="AP48" s="722"/>
    </row>
    <row customHeight="1" ht="21">
      <c r="A49" s="1590" t="s">
        <v>372</v>
      </c>
      <c r="B49" s="1590" t="s">
        <v>373</v>
      </c>
      <c r="C49" s="1590" t="s">
        <v>374</v>
      </c>
      <c r="D49" s="1590" t="s">
        <v>624</v>
      </c>
      <c r="E49" s="2389"/>
      <c r="F49" s="2389"/>
      <c r="G49" s="2389"/>
      <c r="H49" s="2389"/>
      <c r="I49" s="2390"/>
      <c r="J49" s="1590"/>
      <c r="K49" s="1590"/>
      <c r="L49" s="1591"/>
      <c r="P49" s="2392"/>
      <c r="Q49" s="1708"/>
      <c r="R49" s="578"/>
      <c r="S49" s="1505"/>
      <c r="T49" s="587" t="s">
        <v>518</v>
      </c>
      <c r="U49" s="589"/>
      <c r="V49" s="589"/>
      <c r="W49" s="589"/>
      <c r="X49" s="589"/>
      <c r="Y49" s="589"/>
      <c r="Z49" s="589"/>
      <c r="AA49" s="589"/>
      <c r="AB49" s="588"/>
      <c r="AC49" s="589"/>
      <c r="AD49" s="589"/>
      <c r="AE49" s="589"/>
      <c r="AF49" s="589"/>
      <c r="AG49" s="589"/>
      <c r="AH49" s="589"/>
      <c r="AI49" s="588"/>
      <c r="AJ49" s="589"/>
      <c r="AK49" s="1667"/>
      <c r="AM49" s="722"/>
      <c r="AN49" s="722" t="str">
        <f>IF(T49="","",T49)</f>
        <v>Добавить группу потребителей</v>
      </c>
      <c r="AO49" s="722"/>
      <c r="AP49" s="722"/>
    </row>
    <row customHeight="1" ht="21">
      <c r="A50" s="1590" t="s">
        <v>372</v>
      </c>
      <c r="B50" s="1590" t="s">
        <v>373</v>
      </c>
      <c r="C50" s="1590" t="s">
        <v>374</v>
      </c>
      <c r="D50" s="1590" t="s">
        <v>624</v>
      </c>
      <c r="E50" s="2389"/>
      <c r="F50" s="2389"/>
      <c r="G50" s="2389"/>
      <c r="H50" s="2388"/>
      <c r="I50" s="1590"/>
      <c r="J50" s="1590"/>
      <c r="K50" s="1590"/>
      <c r="L50" s="1591"/>
      <c r="M50" s="1592"/>
      <c r="N50" s="1592"/>
      <c r="O50" s="759"/>
      <c r="P50" s="582"/>
      <c r="Q50" s="597"/>
      <c r="R50" s="577"/>
      <c r="S50" s="1505"/>
      <c r="T50" s="594" t="s">
        <v>592</v>
      </c>
      <c r="U50" s="589"/>
      <c r="V50" s="589"/>
      <c r="W50" s="589"/>
      <c r="X50" s="589"/>
      <c r="Y50" s="589"/>
      <c r="Z50" s="589"/>
      <c r="AA50" s="589"/>
      <c r="AB50" s="588"/>
      <c r="AC50" s="589"/>
      <c r="AD50" s="589"/>
      <c r="AE50" s="589"/>
      <c r="AF50" s="589"/>
      <c r="AG50" s="589"/>
      <c r="AH50" s="589"/>
      <c r="AI50" s="588"/>
      <c r="AJ50" s="589"/>
      <c r="AK50" s="525"/>
      <c r="AM50" s="722"/>
      <c r="AN50" s="722" t="str">
        <f>IF(T50="","",T50)</f>
        <v>Добавить наименование признака дифференциации</v>
      </c>
      <c r="AO50" s="722"/>
      <c r="AP50" s="722"/>
    </row>
    <row s="16531" customFormat="1" customHeight="1" ht="0">
      <c r="A51" s="1570" t="s">
        <v>372</v>
      </c>
      <c r="B51" s="1570" t="s">
        <v>373</v>
      </c>
      <c r="C51" s="1541"/>
      <c r="D51" s="1541"/>
      <c r="E51" s="2389"/>
      <c r="F51" s="2388"/>
      <c r="G51" s="1541"/>
      <c r="H51" s="1541"/>
      <c r="I51" s="1541"/>
      <c r="J51" s="1541"/>
      <c r="K51" s="1541"/>
      <c r="L51" s="1721"/>
      <c r="M51" s="1548"/>
      <c r="N51" s="1548"/>
      <c r="P51" s="1543"/>
      <c r="Q51" s="1544"/>
      <c r="R51" s="1543"/>
      <c r="S51" s="1549"/>
      <c r="T51" s="1552" t="s">
        <v>305</v>
      </c>
      <c r="U51" s="1551"/>
      <c r="V51" s="1551"/>
      <c r="W51" s="1551"/>
      <c r="X51" s="1551"/>
      <c r="Y51" s="1551"/>
      <c r="Z51" s="1551"/>
      <c r="AA51" s="1551"/>
      <c r="AB51" s="1551"/>
      <c r="AC51" s="1551"/>
      <c r="AD51" s="1551"/>
      <c r="AE51" s="1551"/>
      <c r="AF51" s="1551"/>
      <c r="AG51" s="1551"/>
      <c r="AH51" s="1551"/>
      <c r="AI51" s="1551"/>
      <c r="AJ51" s="1551"/>
      <c r="AK51" s="1551"/>
      <c r="AM51" s="1011"/>
      <c r="AN51" s="1011" t="str">
        <f>IF(T51="","",T51)</f>
        <v>Добавить централизованную систему для дифференциации</v>
      </c>
      <c r="AO51" s="1011"/>
      <c r="AP51" s="1011"/>
    </row>
    <row s="16622" customFormat="1" customHeight="1" ht="0">
      <c r="A52" s="1570" t="s">
        <v>372</v>
      </c>
      <c r="B52" s="1570"/>
      <c r="C52" s="1570"/>
      <c r="D52" s="1570"/>
      <c r="E52" s="2388"/>
      <c r="F52" s="1570"/>
      <c r="G52" s="1570"/>
      <c r="H52" s="1570"/>
      <c r="I52" s="1570"/>
      <c r="J52" s="1570"/>
      <c r="K52" s="1570"/>
      <c r="L52" s="1573"/>
      <c r="M52" s="1548"/>
      <c r="N52" s="1548"/>
      <c r="O52" s="740"/>
      <c r="P52" s="602"/>
      <c r="Q52" s="1571"/>
      <c r="R52" s="602"/>
      <c r="S52" s="1549"/>
      <c r="T52" s="1552" t="s">
        <v>358</v>
      </c>
      <c r="U52" s="1551"/>
      <c r="V52" s="1551"/>
      <c r="W52" s="1551"/>
      <c r="X52" s="1551"/>
      <c r="Y52" s="1551"/>
      <c r="Z52" s="1551"/>
      <c r="AA52" s="1551"/>
      <c r="AB52" s="1551"/>
      <c r="AC52" s="1551"/>
      <c r="AD52" s="1551"/>
      <c r="AE52" s="1551"/>
      <c r="AF52" s="1551"/>
      <c r="AG52" s="1551"/>
      <c r="AH52" s="1551"/>
      <c r="AI52" s="1551"/>
      <c r="AJ52" s="1551"/>
      <c r="AK52" s="1551"/>
      <c r="AM52" s="722"/>
      <c r="AN52" s="722" t="str">
        <f>IF(T52="","",T52)</f>
        <v>Добавить территорию для дифференциации</v>
      </c>
      <c r="AO52" s="722"/>
      <c r="AP52" s="722"/>
    </row>
    <row s="16531"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359</v>
      </c>
      <c r="U53" s="1551"/>
      <c r="V53" s="1551"/>
      <c r="W53" s="1551"/>
      <c r="X53" s="1551"/>
      <c r="Y53" s="1551"/>
      <c r="Z53" s="1551"/>
      <c r="AA53" s="1551"/>
      <c r="AB53" s="1551"/>
      <c r="AC53" s="1551"/>
      <c r="AD53" s="1551"/>
      <c r="AE53" s="1551"/>
      <c r="AF53" s="1551"/>
      <c r="AG53" s="1551"/>
      <c r="AH53" s="1551"/>
      <c r="AI53" s="1551"/>
      <c r="AJ53" s="1551"/>
      <c r="AK53" s="1551"/>
      <c r="AM53" s="1011"/>
      <c r="AN53" s="1011" t="str">
        <f>IF(T53="","",T53)</f>
        <v>Добавить наименование тарифа</v>
      </c>
      <c r="AO53" s="1011"/>
      <c r="AP53" s="1011"/>
    </row>
    <row customHeight="1" ht="11.25">
      <c r="M54" s="1384"/>
      <c r="N54" s="1384"/>
      <c r="O54" s="759"/>
      <c r="P54" s="1379"/>
      <c r="Q54" s="1379"/>
      <c r="R54" s="1379"/>
      <c r="S54" s="1379"/>
      <c r="AL54" s="1379"/>
      <c r="AM54" s="1379"/>
      <c r="AN54" s="1379"/>
      <c r="AO54" s="1379"/>
      <c r="AP54" s="1379"/>
    </row>
    <row customHeight="1" ht="14.25">
      <c r="O55" s="759"/>
      <c r="S55" s="1479"/>
      <c r="T55" s="2387"/>
      <c r="U55" s="2387"/>
      <c r="V55" s="2387"/>
      <c r="W55" s="2387"/>
      <c r="X55" s="2387"/>
      <c r="Y55" s="2387"/>
      <c r="Z55" s="2387"/>
      <c r="AA55" s="2387"/>
      <c r="AB55" s="2387"/>
      <c r="AC55" s="2387"/>
      <c r="AD55" s="2387"/>
      <c r="AE55" s="2387"/>
      <c r="AF55" s="2387"/>
      <c r="AG55" s="2387"/>
      <c r="AH55" s="2387"/>
      <c r="AI55" s="2387"/>
      <c r="AJ55" s="2387"/>
      <c r="AK55" s="2387"/>
    </row>
    <row customHeight="1" ht="14.25">
      <c r="O56" s="759"/>
    </row>
    <row customHeight="1" ht="14.25">
      <c r="O57" s="759"/>
      <c r="S57" s="1479"/>
      <c r="T57" s="2387"/>
      <c r="U57" s="2387"/>
      <c r="V57" s="2387"/>
      <c r="W57" s="2387"/>
      <c r="X57" s="2387"/>
      <c r="Y57" s="2387"/>
      <c r="Z57" s="2387"/>
      <c r="AA57" s="2387"/>
      <c r="AB57" s="2387"/>
      <c r="AC57" s="2387"/>
      <c r="AD57" s="2387"/>
      <c r="AE57" s="2387"/>
      <c r="AF57" s="2387"/>
      <c r="AG57" s="2387"/>
      <c r="AH57" s="2387"/>
      <c r="AI57" s="2387"/>
      <c r="AJ57" s="2387"/>
      <c r="AK57" s="23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7CD24F-83E5-707C-5AEB-64EB2910FA3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6550" width="10.57421875" hidden="1"/>
    <col min="2" max="2" style="16550" width="11.00390625" hidden="1" customWidth="1"/>
    <col min="3" max="3" style="16550" width="10.57421875" hidden="1"/>
    <col min="4" max="4" style="16550" width="11.8515625" hidden="1" customWidth="1"/>
    <col min="5" max="5" style="16550" width="10.00390625" hidden="1" customWidth="1"/>
    <col min="6" max="6" style="16550" width="8.7109375" hidden="1" customWidth="1"/>
    <col min="7" max="7" style="16550" width="7.57421875" hidden="1" customWidth="1"/>
    <col min="8" max="8" style="16550" width="11.421875" hidden="1" customWidth="1"/>
    <col min="9" max="9" style="16550" width="14.140625" hidden="1" customWidth="1"/>
    <col min="10" max="10" style="16550" width="9.8515625" hidden="1" customWidth="1"/>
    <col min="11" max="11" style="16550" width="14.7109375" hidden="1" customWidth="1"/>
    <col min="12" max="12" style="16899" width="19.140625" hidden="1" customWidth="1"/>
    <col min="13" max="14" style="16631" width="12.28125" hidden="1" customWidth="1"/>
    <col min="15" max="15" style="16631" width="23.421875" hidden="1" customWidth="1"/>
    <col min="16" max="16" style="16900" width="3.7109375" customWidth="1"/>
    <col min="17" max="18" style="16633" width="3.7109375" customWidth="1"/>
    <col min="19" max="19" style="16634" width="12.7109375" customWidth="1"/>
    <col min="20" max="20" style="16635" width="35.7109375" customWidth="1"/>
    <col min="21" max="21" style="16635" width="0.140625" customWidth="1"/>
    <col min="22" max="24" style="16635" width="24.7109375" hidden="1" customWidth="1"/>
    <col min="25" max="25" style="16635" width="11.7109375" hidden="1" customWidth="1"/>
    <col min="26" max="26" style="16635" width="3.7109375" hidden="1" customWidth="1"/>
    <col min="27" max="27" style="16635" width="11.7109375" hidden="1" customWidth="1"/>
    <col min="28" max="28" style="16635" width="8.57421875" hidden="1" customWidth="1"/>
    <col min="29" max="31" style="16635" width="24.7109375" customWidth="1"/>
    <col min="32" max="32" style="16635" width="11.7109375" customWidth="1"/>
    <col min="33" max="33" style="16635" width="3.7109375" customWidth="1"/>
    <col min="34" max="34" style="16635" width="11.7109375" customWidth="1"/>
    <col min="35" max="35" style="16635" width="8.57421875" hidden="1" customWidth="1"/>
    <col min="36" max="36" style="16635" width="4.7109375" customWidth="1"/>
    <col min="37" max="37" style="16635" width="115.7109375" customWidth="1"/>
    <col min="38" max="39" style="16622" width="10.57421875"/>
    <col min="40" max="40" style="16622" width="11.140625" customWidth="1"/>
    <col min="41" max="42" style="16622" width="10.57421875"/>
  </cols>
  <sheetData>
    <row customHeight="1" ht="14.25" hidden="1">
      <c r="X1" s="549"/>
      <c r="Y1" s="549"/>
      <c r="AE1" s="549"/>
      <c r="AF1" s="549"/>
    </row>
    <row customHeight="1" ht="23.25" hidden="1">
      <c r="A2" s="1590"/>
      <c r="B2" s="1590"/>
      <c r="C2" s="1590"/>
      <c r="D2" s="1590"/>
      <c r="E2" s="2388">
        <v>1</v>
      </c>
      <c r="F2" s="1590"/>
      <c r="G2" s="1590"/>
      <c r="H2" s="1590"/>
      <c r="I2" s="1590"/>
      <c r="J2" s="1590"/>
      <c r="K2" s="1590"/>
      <c r="L2" s="1591"/>
      <c r="M2" s="1592"/>
      <c r="N2" s="1592"/>
      <c r="O2" s="1592"/>
      <c r="P2" s="583"/>
      <c r="Q2" s="582"/>
      <c r="R2" s="577"/>
      <c r="S2" s="1720">
        <f>INDEX(PT_DIFFERENTIATION_NUM_NTAR,MATCH(A2,PT_DIFFERENTIATION_NTAR_ID,0))</f>
      </c>
      <c r="T2" s="520" t="s">
        <v>179</v>
      </c>
      <c r="U2" s="522"/>
      <c r="V2" s="2382"/>
      <c r="W2" s="2383"/>
      <c r="X2" s="2383"/>
      <c r="Y2" s="2383"/>
      <c r="Z2" s="2383"/>
      <c r="AA2" s="2383"/>
      <c r="AB2" s="2384"/>
      <c r="AC2" s="2382">
        <f>INDEX(PT_DIFFERENTIATION_NTAR,MATCH(A2,PT_DIFFERENTIATION_NTAR_ID,0))</f>
      </c>
      <c r="AD2" s="2383"/>
      <c r="AE2" s="2383"/>
      <c r="AF2" s="2383"/>
      <c r="AG2" s="2383"/>
      <c r="AH2" s="2383"/>
      <c r="AI2" s="2383"/>
      <c r="AJ2" s="2384"/>
      <c r="AK2" s="14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2"/>
      <c r="AN2" s="722" t="str">
        <f>IF(T2="","",T2)</f>
        <v>Наименование тарифа</v>
      </c>
      <c r="AO2" s="722"/>
      <c r="AP2" s="722"/>
    </row>
    <row customHeight="1" ht="23.25" hidden="1">
      <c r="A3" s="1590"/>
      <c r="B3" s="1590"/>
      <c r="C3" s="1590"/>
      <c r="D3" s="1590"/>
      <c r="E3" s="2389"/>
      <c r="F3" s="2388">
        <v>1</v>
      </c>
      <c r="G3" s="1590"/>
      <c r="H3" s="1590"/>
      <c r="I3" s="1590"/>
      <c r="J3" s="1590"/>
      <c r="K3" s="1590"/>
      <c r="L3" s="1591"/>
      <c r="M3" s="1592"/>
      <c r="N3" s="1592"/>
      <c r="O3" s="1592"/>
      <c r="P3" s="1714"/>
      <c r="Q3" s="574"/>
      <c r="R3" s="575"/>
      <c r="S3" s="1720">
        <f>INDEX(PT_DIFFERENTIATION_NUM_TER,MATCH(B3,PT_DIFFERENTIATION_TER_ID,0))</f>
      </c>
      <c r="T3" s="530" t="s">
        <v>503</v>
      </c>
      <c r="U3" s="522"/>
      <c r="V3" s="2382"/>
      <c r="W3" s="2383"/>
      <c r="X3" s="2383"/>
      <c r="Y3" s="2383"/>
      <c r="Z3" s="2383"/>
      <c r="AA3" s="2383"/>
      <c r="AB3" s="2384"/>
      <c r="AC3" s="2382">
        <f>INDEX(PT_DIFFERENTIATION_TER,MATCH(B3,PT_DIFFERENTIATION_TER_ID,0))</f>
      </c>
      <c r="AD3" s="2383"/>
      <c r="AE3" s="2383"/>
      <c r="AF3" s="2383"/>
      <c r="AG3" s="2383"/>
      <c r="AH3" s="2383"/>
      <c r="AI3" s="2383"/>
      <c r="AJ3" s="2384"/>
      <c r="AK3" s="1484" t="s">
        <v>504</v>
      </c>
      <c r="AM3" s="722"/>
      <c r="AN3" s="722" t="str">
        <f>IF(T3="","",T3)</f>
        <v>Территория действия тарифа</v>
      </c>
      <c r="AO3" s="722"/>
      <c r="AP3" s="722"/>
    </row>
    <row customHeight="1" ht="23.25" hidden="1">
      <c r="A4" s="1590"/>
      <c r="B4" s="1590"/>
      <c r="C4" s="1590"/>
      <c r="D4" s="1590"/>
      <c r="E4" s="2389"/>
      <c r="F4" s="2389"/>
      <c r="G4" s="2388">
        <v>1</v>
      </c>
      <c r="H4" s="1590"/>
      <c r="I4" s="1590"/>
      <c r="J4" s="1590"/>
      <c r="K4" s="1590"/>
      <c r="L4" s="1591"/>
      <c r="M4" s="1592"/>
      <c r="N4" s="1592"/>
      <c r="O4" s="1592"/>
      <c r="P4" s="576"/>
      <c r="Q4" s="574"/>
      <c r="R4" s="575"/>
      <c r="S4" s="1720">
        <f>INDEX(PT_DIFFERENTIATION_NUM_CS,MATCH(C4,PT_DIFFERENTIATION_CS_ID,0))</f>
      </c>
      <c r="T4" s="531" t="s">
        <v>620</v>
      </c>
      <c r="U4" s="522"/>
      <c r="V4" s="2382"/>
      <c r="W4" s="2383"/>
      <c r="X4" s="2383"/>
      <c r="Y4" s="2383"/>
      <c r="Z4" s="2383"/>
      <c r="AA4" s="2383"/>
      <c r="AB4" s="2384"/>
      <c r="AC4" s="2382">
        <f>INDEX(PT_DIFFERENTIATION_CS,MATCH(C4,PT_DIFFERENTIATION_CS_ID,0))</f>
      </c>
      <c r="AD4" s="2383"/>
      <c r="AE4" s="2383"/>
      <c r="AF4" s="2383"/>
      <c r="AG4" s="2383"/>
      <c r="AH4" s="2383"/>
      <c r="AI4" s="2383"/>
      <c r="AJ4" s="2384"/>
      <c r="AK4" s="1484" t="s">
        <v>621</v>
      </c>
      <c r="AM4" s="722"/>
      <c r="AN4" s="722" t="str">
        <f>IF(T4="","",T4)</f>
        <v>Наименование централизованной системы водоотведения</v>
      </c>
      <c r="AO4" s="722"/>
      <c r="AP4" s="722"/>
    </row>
    <row customHeight="1" ht="23.25" hidden="1">
      <c r="A5" s="1590"/>
      <c r="B5" s="1590"/>
      <c r="C5" s="1590"/>
      <c r="D5" s="1590"/>
      <c r="E5" s="2389"/>
      <c r="F5" s="2389"/>
      <c r="G5" s="2389"/>
      <c r="H5" s="2389"/>
      <c r="I5" s="2390">
        <f>S4&amp;".1"</f>
      </c>
      <c r="J5" s="1590"/>
      <c r="K5" s="1590"/>
      <c r="L5" s="1591"/>
      <c r="P5" s="2392">
        <v>1</v>
      </c>
      <c r="Q5" s="1708"/>
      <c r="R5" s="578"/>
      <c r="S5" s="1720">
        <f>$I5</f>
      </c>
      <c r="T5" s="507" t="s">
        <v>587</v>
      </c>
      <c r="U5" s="522"/>
      <c r="V5" s="2475"/>
      <c r="W5" s="2476"/>
      <c r="X5" s="2476"/>
      <c r="Y5" s="2476"/>
      <c r="Z5" s="2476"/>
      <c r="AA5" s="2476"/>
      <c r="AB5" s="2477"/>
      <c r="AC5" s="2478"/>
      <c r="AD5" s="2479"/>
      <c r="AE5" s="2479"/>
      <c r="AF5" s="2479"/>
      <c r="AG5" s="2479"/>
      <c r="AH5" s="2479"/>
      <c r="AI5" s="2479"/>
      <c r="AJ5" s="2480"/>
      <c r="AK5" s="1484" t="s">
        <v>588</v>
      </c>
      <c r="AM5" s="722"/>
      <c r="AN5" s="722" t="str">
        <f>IF(T5="","",T5)</f>
        <v>Наименование признака дифференциации</v>
      </c>
      <c r="AO5" s="722"/>
      <c r="AP5" s="722"/>
    </row>
    <row customHeight="1" ht="23.25" hidden="1">
      <c r="A6" s="1590"/>
      <c r="B6" s="1590"/>
      <c r="C6" s="1590"/>
      <c r="D6" s="1590"/>
      <c r="E6" s="2389"/>
      <c r="F6" s="2389"/>
      <c r="G6" s="2389"/>
      <c r="H6" s="2389"/>
      <c r="I6" s="2391"/>
      <c r="J6" s="2390">
        <f>I5&amp;".1"</f>
      </c>
      <c r="K6" s="1590"/>
      <c r="L6" s="1591" t="s">
        <v>512</v>
      </c>
      <c r="P6" s="2392"/>
      <c r="Q6" s="2392">
        <v>1</v>
      </c>
      <c r="R6" s="579"/>
      <c r="S6" s="1720">
        <f>$J6</f>
      </c>
      <c r="T6" s="508" t="s">
        <v>513</v>
      </c>
      <c r="U6" s="522"/>
      <c r="V6" s="2376"/>
      <c r="W6" s="2377"/>
      <c r="X6" s="2377"/>
      <c r="Y6" s="2377"/>
      <c r="Z6" s="2377"/>
      <c r="AA6" s="2377"/>
      <c r="AB6" s="2378"/>
      <c r="AC6" s="2376"/>
      <c r="AD6" s="2377"/>
      <c r="AE6" s="2377"/>
      <c r="AF6" s="2377"/>
      <c r="AG6" s="2377"/>
      <c r="AH6" s="2377"/>
      <c r="AI6" s="2377"/>
      <c r="AJ6" s="2378"/>
      <c r="AK6" s="1534" t="s">
        <v>589</v>
      </c>
      <c r="AM6" s="722"/>
      <c r="AN6" s="722" t="str">
        <f>IF(T6="","",T6)</f>
        <v>Группа потребителей</v>
      </c>
      <c r="AO6" s="722"/>
      <c r="AP6" s="722"/>
    </row>
    <row customHeight="1" ht="23.25" hidden="1">
      <c r="A7" s="1590"/>
      <c r="B7" s="1590"/>
      <c r="C7" s="1590"/>
      <c r="D7" s="1590"/>
      <c r="E7" s="2389"/>
      <c r="F7" s="2389"/>
      <c r="G7" s="2389"/>
      <c r="H7" s="2389"/>
      <c r="I7" s="2391"/>
      <c r="J7" s="2391"/>
      <c r="K7" s="2390">
        <f>J6&amp;".1"</f>
      </c>
      <c r="L7" s="1591"/>
      <c r="P7" s="2392"/>
      <c r="Q7" s="2392"/>
      <c r="R7" s="579">
        <v>1</v>
      </c>
      <c r="S7" s="1720">
        <f>$K7</f>
      </c>
      <c r="T7" s="1664"/>
      <c r="U7" s="522"/>
      <c r="V7" s="973"/>
      <c r="W7" s="973"/>
      <c r="X7" s="1483"/>
      <c r="Y7" s="2393"/>
      <c r="Z7" s="2263" t="s">
        <v>63</v>
      </c>
      <c r="AA7" s="2393"/>
      <c r="AB7" s="2263" t="s">
        <v>63</v>
      </c>
      <c r="AC7" s="973"/>
      <c r="AD7" s="973"/>
      <c r="AE7" s="1483"/>
      <c r="AF7" s="2393"/>
      <c r="AG7" s="2263" t="s">
        <v>63</v>
      </c>
      <c r="AH7" s="2395"/>
      <c r="AI7" s="2263" t="s">
        <v>63</v>
      </c>
      <c r="AJ7" s="1665"/>
      <c r="AK7" s="24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3">
        <f>STRCHECKDATE(V8:AJ8)</f>
      </c>
      <c r="AM7" s="722"/>
      <c r="AN7" s="722" t="str">
        <f>IF(T7="","",T7)</f>
        <v/>
      </c>
      <c r="AO7" s="722"/>
      <c r="AP7" s="722"/>
    </row>
    <row customHeight="1" ht="14.25" hidden="1">
      <c r="A8" s="1590"/>
      <c r="B8" s="1590"/>
      <c r="C8" s="1590"/>
      <c r="D8" s="1590"/>
      <c r="E8" s="2389"/>
      <c r="F8" s="2389"/>
      <c r="G8" s="2389"/>
      <c r="H8" s="2389"/>
      <c r="I8" s="2391"/>
      <c r="J8" s="2391"/>
      <c r="K8" s="2390"/>
      <c r="L8" s="1591"/>
      <c r="P8" s="2392"/>
      <c r="Q8" s="2392"/>
      <c r="R8" s="579"/>
      <c r="S8" s="1717"/>
      <c r="T8" s="522"/>
      <c r="U8" s="522"/>
      <c r="V8" s="547"/>
      <c r="W8" s="547"/>
      <c r="X8" s="550" t="str">
        <f>Y7&amp;"-"&amp;AA7</f>
        <v>-</v>
      </c>
      <c r="Y8" s="2394"/>
      <c r="Z8" s="2263"/>
      <c r="AA8" s="2394"/>
      <c r="AB8" s="2263"/>
      <c r="AC8" s="547"/>
      <c r="AD8" s="547"/>
      <c r="AE8" s="550" t="str">
        <f>AF7&amp;"-"&amp;AH7</f>
        <v>-</v>
      </c>
      <c r="AF8" s="2394"/>
      <c r="AG8" s="2263"/>
      <c r="AH8" s="2396"/>
      <c r="AI8" s="2263"/>
      <c r="AJ8" s="1666"/>
      <c r="AK8" s="2481"/>
      <c r="AM8" s="722"/>
      <c r="AN8" s="722" t="str">
        <f>IF(T8="","",T8)</f>
        <v/>
      </c>
      <c r="AO8" s="722"/>
      <c r="AP8" s="722"/>
    </row>
    <row customHeight="1" ht="21" hidden="1">
      <c r="A9" s="1590"/>
      <c r="B9" s="1590"/>
      <c r="C9" s="1590"/>
      <c r="D9" s="1590"/>
      <c r="E9" s="2389"/>
      <c r="F9" s="2389"/>
      <c r="G9" s="2389"/>
      <c r="H9" s="2389"/>
      <c r="I9" s="2391"/>
      <c r="J9" s="2390"/>
      <c r="K9" s="1590"/>
      <c r="L9" s="1591"/>
      <c r="P9" s="2392"/>
      <c r="Q9" s="2392"/>
      <c r="R9" s="578"/>
      <c r="S9" s="1505"/>
      <c r="T9" s="509" t="s">
        <v>590</v>
      </c>
      <c r="U9" s="589"/>
      <c r="V9" s="589"/>
      <c r="W9" s="589"/>
      <c r="X9" s="589"/>
      <c r="Y9" s="589"/>
      <c r="Z9" s="589"/>
      <c r="AA9" s="589"/>
      <c r="AB9" s="589"/>
      <c r="AC9" s="589"/>
      <c r="AD9" s="589"/>
      <c r="AE9" s="589"/>
      <c r="AF9" s="589"/>
      <c r="AG9" s="589"/>
      <c r="AH9" s="589"/>
      <c r="AI9" s="589"/>
      <c r="AJ9" s="589"/>
      <c r="AK9" s="1484" t="s">
        <v>591</v>
      </c>
      <c r="AM9" s="722"/>
      <c r="AN9" s="722" t="str">
        <f>IF(T9="","",T9)</f>
        <v>Добавить значение признака дифференциации</v>
      </c>
      <c r="AO9" s="722"/>
      <c r="AP9" s="722"/>
    </row>
    <row customHeight="1" ht="21" hidden="1">
      <c r="A10" s="1590"/>
      <c r="B10" s="1590"/>
      <c r="C10" s="1590"/>
      <c r="D10" s="1590"/>
      <c r="E10" s="2389"/>
      <c r="F10" s="2389"/>
      <c r="G10" s="2389"/>
      <c r="H10" s="2389"/>
      <c r="I10" s="2390"/>
      <c r="J10" s="1590"/>
      <c r="K10" s="1590"/>
      <c r="L10" s="1591"/>
      <c r="P10" s="2392"/>
      <c r="Q10" s="1708"/>
      <c r="R10" s="578"/>
      <c r="S10" s="1505"/>
      <c r="T10" s="587" t="s">
        <v>518</v>
      </c>
      <c r="U10" s="589"/>
      <c r="V10" s="589"/>
      <c r="W10" s="589"/>
      <c r="X10" s="589"/>
      <c r="Y10" s="589"/>
      <c r="Z10" s="589"/>
      <c r="AA10" s="589"/>
      <c r="AB10" s="588"/>
      <c r="AC10" s="589"/>
      <c r="AD10" s="589"/>
      <c r="AE10" s="589"/>
      <c r="AF10" s="589"/>
      <c r="AG10" s="589"/>
      <c r="AH10" s="589"/>
      <c r="AI10" s="588"/>
      <c r="AJ10" s="589"/>
      <c r="AK10" s="1667"/>
      <c r="AM10" s="722"/>
      <c r="AN10" s="722" t="str">
        <f>IF(T10="","",T10)</f>
        <v>Добавить группу потребителей</v>
      </c>
      <c r="AO10" s="722"/>
      <c r="AP10" s="722"/>
    </row>
    <row customHeight="1" ht="21" hidden="1">
      <c r="A11" s="1590"/>
      <c r="B11" s="1590"/>
      <c r="C11" s="1590"/>
      <c r="D11" s="1590"/>
      <c r="E11" s="2389"/>
      <c r="F11" s="2389"/>
      <c r="G11" s="2389"/>
      <c r="H11" s="2388"/>
      <c r="I11" s="1590"/>
      <c r="J11" s="1590"/>
      <c r="K11" s="1590"/>
      <c r="L11" s="1591"/>
      <c r="M11" s="1592"/>
      <c r="N11" s="1592"/>
      <c r="O11" s="759"/>
      <c r="P11" s="582"/>
      <c r="Q11" s="597"/>
      <c r="R11" s="577"/>
      <c r="S11" s="1505"/>
      <c r="T11" s="594" t="s">
        <v>592</v>
      </c>
      <c r="U11" s="589"/>
      <c r="V11" s="589"/>
      <c r="W11" s="589"/>
      <c r="X11" s="589"/>
      <c r="Y11" s="589"/>
      <c r="Z11" s="589"/>
      <c r="AA11" s="589"/>
      <c r="AB11" s="588"/>
      <c r="AC11" s="589"/>
      <c r="AD11" s="589"/>
      <c r="AE11" s="589"/>
      <c r="AF11" s="589"/>
      <c r="AG11" s="589"/>
      <c r="AH11" s="589"/>
      <c r="AI11" s="588"/>
      <c r="AJ11" s="589"/>
      <c r="AK11" s="525"/>
      <c r="AM11" s="722"/>
      <c r="AN11" s="722" t="str">
        <f>IF(T11="","",T11)</f>
        <v>Добавить наименование признака дифференциации</v>
      </c>
      <c r="AO11" s="722"/>
      <c r="AP11" s="722"/>
    </row>
    <row s="16531" customFormat="1" customHeight="1" ht="14.25" hidden="1">
      <c r="A12" s="1570"/>
      <c r="B12" s="1570"/>
      <c r="C12" s="1541"/>
      <c r="D12" s="1541"/>
      <c r="E12" s="2389"/>
      <c r="F12" s="2388"/>
      <c r="G12" s="1541"/>
      <c r="H12" s="1541"/>
      <c r="I12" s="1541"/>
      <c r="J12" s="1541"/>
      <c r="K12" s="1541"/>
      <c r="L12" s="1721"/>
      <c r="M12" s="1548"/>
      <c r="N12" s="1548"/>
      <c r="P12" s="1543"/>
      <c r="Q12" s="1544"/>
      <c r="R12" s="1543"/>
      <c r="S12" s="1549"/>
      <c r="T12" s="1552" t="s">
        <v>305</v>
      </c>
      <c r="U12" s="1551"/>
      <c r="V12" s="1551"/>
      <c r="W12" s="1551"/>
      <c r="X12" s="1551"/>
      <c r="Y12" s="1551"/>
      <c r="Z12" s="1551"/>
      <c r="AA12" s="1551"/>
      <c r="AB12" s="1551"/>
      <c r="AC12" s="1551"/>
      <c r="AD12" s="1551"/>
      <c r="AE12" s="1551"/>
      <c r="AF12" s="1551"/>
      <c r="AG12" s="1551"/>
      <c r="AH12" s="1551"/>
      <c r="AI12" s="1551"/>
      <c r="AJ12" s="1551"/>
      <c r="AK12" s="1551"/>
      <c r="AM12" s="1011"/>
      <c r="AN12" s="1011" t="str">
        <f>IF(T12="","",T12)</f>
        <v>Добавить централизованную систему для дифференциации</v>
      </c>
      <c r="AO12" s="1011"/>
      <c r="AP12" s="1011"/>
    </row>
    <row s="16622" customFormat="1" customHeight="1" ht="14.25" hidden="1">
      <c r="A13" s="1570"/>
      <c r="B13" s="1570"/>
      <c r="C13" s="1570"/>
      <c r="D13" s="1570"/>
      <c r="E13" s="2388"/>
      <c r="F13" s="1570"/>
      <c r="G13" s="1570"/>
      <c r="H13" s="1570"/>
      <c r="I13" s="1570"/>
      <c r="J13" s="1570"/>
      <c r="K13" s="1570"/>
      <c r="L13" s="1573"/>
      <c r="M13" s="1548"/>
      <c r="N13" s="1548"/>
      <c r="O13" s="740"/>
      <c r="P13" s="602"/>
      <c r="Q13" s="1571"/>
      <c r="R13" s="602"/>
      <c r="S13" s="1549"/>
      <c r="T13" s="1552" t="s">
        <v>358</v>
      </c>
      <c r="U13" s="1551"/>
      <c r="V13" s="1551"/>
      <c r="W13" s="1551"/>
      <c r="X13" s="1551"/>
      <c r="Y13" s="1551"/>
      <c r="Z13" s="1551"/>
      <c r="AA13" s="1551"/>
      <c r="AB13" s="1551"/>
      <c r="AC13" s="1551"/>
      <c r="AD13" s="1551"/>
      <c r="AE13" s="1551"/>
      <c r="AF13" s="1551"/>
      <c r="AG13" s="1551"/>
      <c r="AH13" s="1551"/>
      <c r="AI13" s="1551"/>
      <c r="AJ13" s="1551"/>
      <c r="AK13" s="1551"/>
      <c r="AM13" s="722"/>
      <c r="AN13" s="722" t="str">
        <f>IF(T13="","",T13)</f>
        <v>Добавить территорию для дифференциации</v>
      </c>
      <c r="AO13" s="722"/>
      <c r="AP13" s="722"/>
    </row>
    <row customHeight="1" ht="14.25" hidden="1">
      <c r="AB14" s="549"/>
      <c r="AI14" s="549"/>
    </row>
    <row customHeight="1" ht="14.25" hidden="1">
      <c r="AC15" s="1587"/>
      <c r="AD15" s="1587"/>
      <c r="AE15" s="1588"/>
      <c r="AF15" s="2386"/>
      <c r="AG15" s="2385" t="s">
        <v>63</v>
      </c>
      <c r="AH15" s="2386"/>
      <c r="AI15" s="2385" t="s">
        <v>63</v>
      </c>
    </row>
    <row customHeight="1" ht="14.25" hidden="1">
      <c r="AC16" s="1587"/>
      <c r="AD16" s="1587"/>
      <c r="AE16" s="550" t="str">
        <f>AF15&amp;"-"&amp;AH15</f>
        <v>-</v>
      </c>
      <c r="AF16" s="2385"/>
      <c r="AG16" s="2385"/>
      <c r="AH16" s="2385"/>
      <c r="AI16" s="2385"/>
    </row>
    <row customHeight="1" ht="14.25" hidden="1">
      <c r="AI17" s="549"/>
    </row>
    <row s="16550" customFormat="1" customHeight="1" ht="22.5" hidden="1">
      <c r="L18" s="1705"/>
      <c r="M18" s="1589"/>
      <c r="N18" s="1589"/>
      <c r="O18" s="1594" t="s">
        <v>521</v>
      </c>
      <c r="P18" s="1589"/>
      <c r="Q18" s="1598"/>
      <c r="R18" s="1598"/>
      <c r="S18" s="951"/>
      <c r="Y18" s="1594"/>
      <c r="AA18" s="1594"/>
      <c r="AB18" s="1593"/>
      <c r="AF18" s="1594"/>
      <c r="AH18" s="1594"/>
      <c r="AI18" s="1593"/>
      <c r="AL18" s="733"/>
      <c r="AM18" s="733"/>
      <c r="AN18" s="733"/>
      <c r="AO18" s="733"/>
      <c r="AP18" s="733"/>
    </row>
    <row s="16550" customFormat="1" customHeight="1" ht="14.25" hidden="1">
      <c r="L19" s="1705"/>
      <c r="M19" s="1589"/>
      <c r="N19" s="1589"/>
      <c r="O19" s="1589"/>
      <c r="P19" s="1589"/>
      <c r="Q19" s="1598"/>
      <c r="R19" s="1598"/>
      <c r="S19" s="951"/>
      <c r="AB19" s="1593"/>
      <c r="AI19" s="1593"/>
      <c r="AL19" s="733"/>
      <c r="AM19" s="733"/>
      <c r="AN19" s="733"/>
      <c r="AO19" s="733"/>
      <c r="AP19" s="733"/>
    </row>
    <row s="16550" customFormat="1" customHeight="1" ht="12" hidden="1">
      <c r="L20" s="1705"/>
      <c r="M20" s="1589"/>
      <c r="N20" s="1589"/>
      <c r="O20" s="1591" t="s">
        <v>522</v>
      </c>
      <c r="P20" s="1589"/>
      <c r="Q20" s="1669"/>
      <c r="R20" s="1669"/>
      <c r="S20" s="951"/>
      <c r="T20" s="1384" t="s">
        <v>523</v>
      </c>
      <c r="Z20" s="408" t="s">
        <v>524</v>
      </c>
      <c r="AB20" s="408" t="s">
        <v>525</v>
      </c>
      <c r="AC20" s="1384" t="s">
        <v>523</v>
      </c>
      <c r="AG20" s="408" t="s">
        <v>526</v>
      </c>
      <c r="AI20" s="408" t="s">
        <v>525</v>
      </c>
    </row>
    <row customHeight="1" ht="14.25" hidden="1">
      <c r="O21" s="1591"/>
    </row>
    <row customHeight="1" ht="14.25" hidden="1">
      <c r="O22" s="1591"/>
    </row>
    <row customHeight="1" ht="14.25">
      <c r="Q23" s="598"/>
      <c r="R23" s="598"/>
      <c r="S23" s="1502"/>
      <c r="T23" s="585"/>
      <c r="U23" s="585"/>
      <c r="V23" s="731"/>
      <c r="W23" s="731"/>
      <c r="X23" s="731"/>
      <c r="Y23" s="731"/>
      <c r="Z23" s="731"/>
      <c r="AA23" s="731"/>
      <c r="AB23" s="731"/>
      <c r="AC23" s="731"/>
      <c r="AD23" s="731"/>
      <c r="AE23" s="731"/>
      <c r="AF23" s="731"/>
      <c r="AG23" s="731"/>
      <c r="AH23" s="731"/>
      <c r="AI23" s="731"/>
    </row>
    <row customHeight="1" ht="14.25">
      <c r="Q24" s="598"/>
      <c r="R24" s="598"/>
      <c r="S24" s="24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21"/>
      <c r="U24" s="2421"/>
      <c r="V24" s="2421"/>
      <c r="W24" s="2421"/>
      <c r="X24" s="2421"/>
      <c r="Y24" s="2421"/>
      <c r="Z24" s="2421"/>
      <c r="AA24" s="2421"/>
      <c r="AB24" s="2421"/>
      <c r="AC24" s="2421"/>
      <c r="AD24" s="2421"/>
      <c r="AE24" s="2421"/>
      <c r="AF24" s="2421"/>
      <c r="AG24" s="2421"/>
      <c r="AH24" s="2421"/>
      <c r="AI24" s="1469"/>
    </row>
    <row customHeight="1" ht="14.25">
      <c r="Q25" s="598"/>
      <c r="R25" s="598"/>
      <c r="S25" s="2422" t="str">
        <f>IF(org=0,"Не определено",org)</f>
        <v>КГУП "Примтеплоэнерго"</v>
      </c>
      <c r="T25" s="2422"/>
      <c r="U25" s="2422"/>
      <c r="V25" s="2422"/>
      <c r="W25" s="2422"/>
      <c r="X25" s="2422"/>
      <c r="Y25" s="2422"/>
      <c r="Z25" s="2422"/>
      <c r="AA25" s="2422"/>
      <c r="AB25" s="2422"/>
      <c r="AC25" s="2422"/>
      <c r="AD25" s="2422"/>
      <c r="AE25" s="2422"/>
      <c r="AF25" s="2422"/>
      <c r="AG25" s="2422"/>
      <c r="AH25" s="2422"/>
      <c r="AI25" s="1469"/>
    </row>
    <row customHeight="1" ht="14.25" hidden="1">
      <c r="Q26" s="598"/>
      <c r="R26" s="598"/>
      <c r="S26" s="1502"/>
      <c r="T26" s="585"/>
      <c r="U26" s="585"/>
      <c r="V26" s="544"/>
      <c r="W26" s="544"/>
      <c r="X26" s="544"/>
      <c r="Y26" s="544"/>
      <c r="Z26" s="544"/>
      <c r="AA26" s="544"/>
      <c r="AB26" s="544"/>
      <c r="AC26" s="544"/>
      <c r="AD26" s="544"/>
      <c r="AE26" s="544"/>
      <c r="AF26" s="544"/>
      <c r="AG26" s="544"/>
      <c r="AH26" s="544"/>
      <c r="AI26" s="544"/>
      <c r="AJ26" s="731"/>
    </row>
    <row s="16563" customFormat="1" customHeight="1" ht="25.5" hidden="1">
      <c r="A27" s="1595"/>
      <c r="B27" s="1595"/>
      <c r="C27" s="1595"/>
      <c r="D27" s="1595"/>
      <c r="E27" s="1595"/>
      <c r="F27" s="1595"/>
      <c r="G27" s="1595"/>
      <c r="H27" s="1595"/>
      <c r="I27" s="1595"/>
      <c r="J27" s="1595"/>
      <c r="K27" s="1595"/>
      <c r="L27" s="1596"/>
      <c r="M27" s="1595"/>
      <c r="N27" s="1595"/>
      <c r="O27" s="1595"/>
      <c r="S27" s="2379" t="s">
        <v>38</v>
      </c>
      <c r="T27" s="2379"/>
      <c r="U27" s="1599"/>
      <c r="V27" s="2381" t="str">
        <f>IF(TITLE_NAME_OR_PR_CHANGE="",IF(TITLE_NAME_OR_PR="","",TITLE_NAME_OR_PR),TITLE_NAME_OR_PR_CHANGE)</f>
        <v/>
      </c>
      <c r="W27" s="2381"/>
      <c r="X27" s="2381"/>
      <c r="Y27" s="2381"/>
      <c r="Z27" s="2381"/>
      <c r="AA27" s="2381"/>
      <c r="AB27" s="548"/>
      <c r="AC27" s="2381" t="str">
        <f>IF(TITLE_NAME_OR_PR_CHANGE="",IF(TITLE_NAME_OR_PR="","",TITLE_NAME_OR_PR),TITLE_NAME_OR_PR_CHANGE)</f>
        <v/>
      </c>
      <c r="AD27" s="2381"/>
      <c r="AE27" s="2381"/>
      <c r="AF27" s="2381"/>
      <c r="AG27" s="2381"/>
      <c r="AH27" s="2381"/>
      <c r="AI27" s="548"/>
      <c r="AJ27" s="548"/>
      <c r="AK27" s="502"/>
      <c r="AL27" s="590"/>
      <c r="AM27" s="590"/>
      <c r="AN27" s="590"/>
      <c r="AO27" s="590"/>
      <c r="AP27" s="590"/>
    </row>
    <row s="16563" customFormat="1" customHeight="1" ht="18.75" hidden="1">
      <c r="A28" s="1595"/>
      <c r="B28" s="1595"/>
      <c r="C28" s="1595"/>
      <c r="D28" s="1595"/>
      <c r="E28" s="1595"/>
      <c r="F28" s="1595"/>
      <c r="G28" s="1595"/>
      <c r="H28" s="1595"/>
      <c r="I28" s="1595"/>
      <c r="J28" s="1595"/>
      <c r="K28" s="1595"/>
      <c r="L28" s="1596"/>
      <c r="M28" s="1595"/>
      <c r="N28" s="1595"/>
      <c r="O28" s="1595"/>
      <c r="S28" s="2379" t="s">
        <v>527</v>
      </c>
      <c r="T28" s="2379"/>
      <c r="U28" s="1599"/>
      <c r="V28" s="2380" t="str">
        <f>IF(TITLE_DATE_PR_CHANGE="",IF(TITLE_DATE_PR="","",TITLE_DATE_PR),TITLE_DATE_PR_CHANGE)</f>
        <v>45407.47206018519</v>
      </c>
      <c r="W28" s="2380"/>
      <c r="X28" s="2380"/>
      <c r="Y28" s="2380"/>
      <c r="Z28" s="2380"/>
      <c r="AA28" s="2380"/>
      <c r="AB28" s="548"/>
      <c r="AC28" s="2380" t="str">
        <f>IF(TITLE_DATE_PR_CHANGE="",IF(TITLE_DATE_PR="","",TITLE_DATE_PR),TITLE_DATE_PR_CHANGE)</f>
        <v>45407.47206018519</v>
      </c>
      <c r="AD28" s="2380"/>
      <c r="AE28" s="2380"/>
      <c r="AF28" s="2380"/>
      <c r="AG28" s="2380"/>
      <c r="AH28" s="2380"/>
      <c r="AI28" s="548"/>
      <c r="AJ28" s="548"/>
      <c r="AK28" s="502"/>
      <c r="AL28" s="590"/>
      <c r="AM28" s="590"/>
      <c r="AN28" s="590"/>
      <c r="AO28" s="590"/>
      <c r="AP28" s="590"/>
    </row>
    <row s="16563" customFormat="1" customHeight="1" ht="18.75" hidden="1">
      <c r="A29" s="1595"/>
      <c r="B29" s="1595"/>
      <c r="C29" s="1595"/>
      <c r="D29" s="1595"/>
      <c r="E29" s="1595"/>
      <c r="F29" s="1595"/>
      <c r="G29" s="1595"/>
      <c r="H29" s="1595"/>
      <c r="I29" s="1595"/>
      <c r="J29" s="1595"/>
      <c r="K29" s="1595"/>
      <c r="L29" s="1596"/>
      <c r="M29" s="1595"/>
      <c r="N29" s="1595"/>
      <c r="O29" s="1595"/>
      <c r="S29" s="2379" t="s">
        <v>528</v>
      </c>
      <c r="T29" s="2379"/>
      <c r="U29" s="1599"/>
      <c r="V29" s="2381" t="str">
        <f>IF(TITLE_NUMBER_PR_CHANGE="",IF(TITLE_NUMBER_PR="","",TITLE_NUMBER_PR),TITLE_NUMBER_PR_CHANGE)</f>
        <v>27-2067</v>
      </c>
      <c r="W29" s="2381"/>
      <c r="X29" s="2381"/>
      <c r="Y29" s="2381"/>
      <c r="Z29" s="2381"/>
      <c r="AA29" s="2381"/>
      <c r="AB29" s="548"/>
      <c r="AC29" s="2381" t="str">
        <f>IF(TITLE_NUMBER_PR_CHANGE="",IF(TITLE_NUMBER_PR="","",TITLE_NUMBER_PR),TITLE_NUMBER_PR_CHANGE)</f>
        <v>27-2067</v>
      </c>
      <c r="AD29" s="2381"/>
      <c r="AE29" s="2381"/>
      <c r="AF29" s="2381"/>
      <c r="AG29" s="2381"/>
      <c r="AH29" s="2381"/>
      <c r="AI29" s="548"/>
      <c r="AJ29" s="548"/>
      <c r="AK29" s="502"/>
      <c r="AL29" s="590"/>
      <c r="AM29" s="590"/>
      <c r="AN29" s="590"/>
      <c r="AO29" s="590"/>
      <c r="AP29" s="590"/>
    </row>
    <row s="16563" customFormat="1" customHeight="1" ht="18.75" hidden="1">
      <c r="A30" s="1595"/>
      <c r="B30" s="1595"/>
      <c r="C30" s="1595"/>
      <c r="D30" s="1595"/>
      <c r="E30" s="1595"/>
      <c r="F30" s="1595"/>
      <c r="G30" s="1595"/>
      <c r="H30" s="1595"/>
      <c r="I30" s="1595"/>
      <c r="J30" s="1595"/>
      <c r="K30" s="1595"/>
      <c r="L30" s="1596"/>
      <c r="M30" s="1595"/>
      <c r="N30" s="1595"/>
      <c r="O30" s="1595"/>
      <c r="S30" s="2379" t="s">
        <v>39</v>
      </c>
      <c r="T30" s="2379"/>
      <c r="U30" s="1599"/>
      <c r="V30" s="2381" t="str">
        <f>IF(TITLE_IST_PUB_CHANGE="",IF(TITLE_IST_PUB="","",TITLE_IST_PUB),TITLE_IST_PUB_CHANGE)</f>
        <v/>
      </c>
      <c r="W30" s="2381"/>
      <c r="X30" s="2381"/>
      <c r="Y30" s="2381"/>
      <c r="Z30" s="2381"/>
      <c r="AA30" s="2381"/>
      <c r="AB30" s="548"/>
      <c r="AC30" s="2381" t="str">
        <f>IF(TITLE_IST_PUB_CHANGE="",IF(TITLE_IST_PUB="","",TITLE_IST_PUB),TITLE_IST_PUB_CHANGE)</f>
        <v/>
      </c>
      <c r="AD30" s="2381"/>
      <c r="AE30" s="2381"/>
      <c r="AF30" s="2381"/>
      <c r="AG30" s="2381"/>
      <c r="AH30" s="2381"/>
      <c r="AI30" s="548"/>
      <c r="AJ30" s="548"/>
      <c r="AK30" s="502"/>
      <c r="AL30" s="590"/>
      <c r="AM30" s="590"/>
      <c r="AN30" s="590"/>
      <c r="AO30" s="590"/>
      <c r="AP30" s="590"/>
    </row>
    <row customHeight="1" ht="14.25">
      <c r="Q31" s="598"/>
      <c r="R31" s="598"/>
      <c r="S31" s="1502"/>
      <c r="T31" s="585"/>
      <c r="U31" s="585"/>
      <c r="V31" s="544"/>
      <c r="W31" s="544"/>
      <c r="X31" s="544"/>
      <c r="Y31" s="544"/>
      <c r="Z31" s="544"/>
      <c r="AA31" s="544"/>
      <c r="AB31" s="544"/>
      <c r="AC31" s="544"/>
      <c r="AD31" s="544"/>
      <c r="AE31" s="544"/>
      <c r="AF31" s="544"/>
      <c r="AG31" s="544"/>
      <c r="AH31" s="544"/>
      <c r="AI31" s="544"/>
      <c r="AJ31" s="731"/>
    </row>
    <row s="16563" customFormat="1" customHeight="1" ht="18.75">
      <c r="A32" s="1595"/>
      <c r="B32" s="1595"/>
      <c r="C32" s="1595"/>
      <c r="D32" s="1595"/>
      <c r="E32" s="1595"/>
      <c r="F32" s="1595"/>
      <c r="G32" s="1595"/>
      <c r="H32" s="1595"/>
      <c r="I32" s="1595"/>
      <c r="J32" s="1595"/>
      <c r="K32" s="1595"/>
      <c r="L32" s="1596"/>
      <c r="M32" s="1595"/>
      <c r="N32" s="1595"/>
      <c r="O32" s="1595"/>
      <c r="S32" s="2379" t="s">
        <v>529</v>
      </c>
      <c r="T32" s="2379"/>
      <c r="U32" s="1599"/>
      <c r="V32" s="2380" t="str">
        <f>IF(TITLE_DATE_PR_CHANGE="",IF(TITLE_DATE_PR="","",TITLE_DATE_PR),TITLE_DATE_PR_CHANGE)</f>
        <v>45407.47206018519</v>
      </c>
      <c r="W32" s="2380"/>
      <c r="X32" s="2380"/>
      <c r="Y32" s="2380"/>
      <c r="Z32" s="2380"/>
      <c r="AA32" s="2380"/>
      <c r="AB32" s="548"/>
      <c r="AC32" s="2380" t="str">
        <f>IF(TITLE_DATE_PR_CHANGE="",IF(TITLE_DATE_PR="","",TITLE_DATE_PR),TITLE_DATE_PR_CHANGE)</f>
        <v>45407.47206018519</v>
      </c>
      <c r="AD32" s="2380"/>
      <c r="AE32" s="2380"/>
      <c r="AF32" s="2380"/>
      <c r="AG32" s="2380"/>
      <c r="AH32" s="2380"/>
      <c r="AI32" s="548"/>
      <c r="AJ32" s="548"/>
      <c r="AK32" s="502"/>
      <c r="AL32" s="590"/>
      <c r="AM32" s="590"/>
      <c r="AN32" s="590"/>
      <c r="AO32" s="590"/>
      <c r="AP32" s="590"/>
    </row>
    <row s="16563" customFormat="1" customHeight="1" ht="18.75">
      <c r="A33" s="1595"/>
      <c r="B33" s="1595"/>
      <c r="C33" s="1595"/>
      <c r="D33" s="1595"/>
      <c r="E33" s="1595"/>
      <c r="F33" s="1595"/>
      <c r="G33" s="1595"/>
      <c r="H33" s="1595"/>
      <c r="I33" s="1595"/>
      <c r="J33" s="1595"/>
      <c r="K33" s="1595"/>
      <c r="L33" s="1596"/>
      <c r="M33" s="1595"/>
      <c r="N33" s="1595"/>
      <c r="O33" s="1595"/>
      <c r="S33" s="2379" t="s">
        <v>530</v>
      </c>
      <c r="T33" s="2379"/>
      <c r="U33" s="1599"/>
      <c r="V33" s="2381" t="str">
        <f>IF(TITLE_NUMBER_PR_CHANGE="",IF(TITLE_NUMBER_PR="","",TITLE_NUMBER_PR),TITLE_NUMBER_PR_CHANGE)</f>
        <v>27-2067</v>
      </c>
      <c r="W33" s="2381"/>
      <c r="X33" s="2381"/>
      <c r="Y33" s="2381"/>
      <c r="Z33" s="2381"/>
      <c r="AA33" s="2381"/>
      <c r="AB33" s="548"/>
      <c r="AC33" s="2381" t="str">
        <f>IF(TITLE_NUMBER_PR_CHANGE="",IF(TITLE_NUMBER_PR="","",TITLE_NUMBER_PR),TITLE_NUMBER_PR_CHANGE)</f>
        <v>27-2067</v>
      </c>
      <c r="AD33" s="2381"/>
      <c r="AE33" s="2381"/>
      <c r="AF33" s="2381"/>
      <c r="AG33" s="2381"/>
      <c r="AH33" s="2381"/>
      <c r="AI33" s="548"/>
      <c r="AJ33" s="548"/>
      <c r="AK33" s="502"/>
      <c r="AL33" s="590"/>
      <c r="AM33" s="590"/>
      <c r="AN33" s="590"/>
      <c r="AO33" s="590"/>
      <c r="AP33" s="590"/>
    </row>
    <row s="16563" customFormat="1" customHeight="1" ht="0.75">
      <c r="A34" s="1595"/>
      <c r="B34" s="1595"/>
      <c r="C34" s="1595"/>
      <c r="D34" s="1595"/>
      <c r="E34" s="1595"/>
      <c r="F34" s="1595"/>
      <c r="G34" s="1595"/>
      <c r="H34" s="1595"/>
      <c r="I34" s="1595"/>
      <c r="J34" s="1595"/>
      <c r="K34" s="1595"/>
      <c r="L34" s="1596"/>
      <c r="M34" s="1595"/>
      <c r="N34" s="1595"/>
      <c r="O34" s="1595"/>
      <c r="S34" s="545"/>
      <c r="T34" s="545"/>
      <c r="U34" s="1715"/>
      <c r="V34" s="548"/>
      <c r="W34" s="548"/>
      <c r="X34" s="548"/>
      <c r="Y34" s="548"/>
      <c r="Z34" s="548"/>
      <c r="AA34" s="548"/>
      <c r="AB34" s="500" t="s">
        <v>531</v>
      </c>
      <c r="AC34" s="548"/>
      <c r="AD34" s="548"/>
      <c r="AE34" s="548"/>
      <c r="AF34" s="548"/>
      <c r="AG34" s="548"/>
      <c r="AH34" s="548"/>
      <c r="AI34" s="500" t="s">
        <v>531</v>
      </c>
      <c r="AL34" s="590"/>
      <c r="AM34" s="590"/>
      <c r="AN34" s="590"/>
      <c r="AO34" s="590"/>
      <c r="AP34" s="590"/>
    </row>
    <row customHeight="1" ht="14.25">
      <c r="Q35" s="598"/>
      <c r="R35" s="598"/>
      <c r="S35" s="1502"/>
      <c r="T35" s="585"/>
      <c r="U35" s="1470"/>
      <c r="V35" s="2405"/>
      <c r="W35" s="2405"/>
      <c r="X35" s="2405"/>
      <c r="Y35" s="2405"/>
      <c r="Z35" s="2405"/>
      <c r="AA35" s="2405"/>
      <c r="AB35" s="2405"/>
      <c r="AC35" s="2405"/>
      <c r="AD35" s="2405"/>
      <c r="AE35" s="2405"/>
      <c r="AF35" s="2405"/>
      <c r="AG35" s="2405"/>
      <c r="AH35" s="2405"/>
      <c r="AI35" s="2405"/>
    </row>
    <row customHeight="1" ht="14.25">
      <c r="Q36" s="598"/>
      <c r="R36" s="598"/>
      <c r="S36" s="2253" t="s">
        <v>406</v>
      </c>
      <c r="T36" s="2253"/>
      <c r="U36" s="2253"/>
      <c r="V36" s="2253"/>
      <c r="W36" s="2253"/>
      <c r="X36" s="2253"/>
      <c r="Y36" s="2253"/>
      <c r="Z36" s="2253"/>
      <c r="AA36" s="2253"/>
      <c r="AB36" s="2253"/>
      <c r="AC36" s="2253"/>
      <c r="AD36" s="2253"/>
      <c r="AE36" s="2253"/>
      <c r="AF36" s="2253"/>
      <c r="AG36" s="2253"/>
      <c r="AH36" s="2253"/>
      <c r="AI36" s="2253"/>
      <c r="AJ36" s="2253"/>
      <c r="AK36" s="2253" t="s">
        <v>407</v>
      </c>
    </row>
    <row customHeight="1" ht="14.25">
      <c r="Q37" s="598"/>
      <c r="R37" s="598"/>
      <c r="S37" s="2406" t="s">
        <v>84</v>
      </c>
      <c r="T37" s="2343" t="s">
        <v>532</v>
      </c>
      <c r="U37" s="523"/>
      <c r="V37" s="2407" t="s">
        <v>533</v>
      </c>
      <c r="W37" s="2408"/>
      <c r="X37" s="2408"/>
      <c r="Y37" s="2408"/>
      <c r="Z37" s="2408"/>
      <c r="AA37" s="2409"/>
      <c r="AB37" s="2410" t="s">
        <v>534</v>
      </c>
      <c r="AC37" s="2407" t="s">
        <v>533</v>
      </c>
      <c r="AD37" s="2408"/>
      <c r="AE37" s="2408"/>
      <c r="AF37" s="2408"/>
      <c r="AG37" s="2408"/>
      <c r="AH37" s="2409"/>
      <c r="AI37" s="2410" t="s">
        <v>535</v>
      </c>
      <c r="AJ37" s="2413" t="s">
        <v>536</v>
      </c>
      <c r="AK37" s="2253"/>
    </row>
    <row customHeight="1" ht="33.75">
      <c r="Q38" s="598"/>
      <c r="R38" s="598"/>
      <c r="S38" s="2406"/>
      <c r="T38" s="2343"/>
      <c r="U38" s="1254"/>
      <c r="V38" s="1710" t="s">
        <v>593</v>
      </c>
      <c r="W38" s="2399" t="s">
        <v>539</v>
      </c>
      <c r="X38" s="2401"/>
      <c r="Y38" s="2399" t="s">
        <v>540</v>
      </c>
      <c r="Z38" s="2400"/>
      <c r="AA38" s="2401"/>
      <c r="AB38" s="2411"/>
      <c r="AC38" s="1710" t="s">
        <v>593</v>
      </c>
      <c r="AD38" s="2399" t="s">
        <v>539</v>
      </c>
      <c r="AE38" s="2401"/>
      <c r="AF38" s="2399" t="s">
        <v>540</v>
      </c>
      <c r="AG38" s="2400"/>
      <c r="AH38" s="2401"/>
      <c r="AI38" s="2411"/>
      <c r="AJ38" s="2414"/>
      <c r="AK38" s="2253"/>
    </row>
    <row customHeight="1" ht="86.25">
      <c r="A39" s="1597"/>
      <c r="B39" s="1597" t="s">
        <v>191</v>
      </c>
      <c r="C39" s="1597" t="s">
        <v>192</v>
      </c>
      <c r="D39" s="1597" t="s">
        <v>193</v>
      </c>
      <c r="E39" s="1591" t="s">
        <v>541</v>
      </c>
      <c r="F39" s="1591" t="s">
        <v>542</v>
      </c>
      <c r="G39" s="1591" t="s">
        <v>543</v>
      </c>
      <c r="H39" s="1591"/>
      <c r="I39" s="1591" t="s">
        <v>594</v>
      </c>
      <c r="J39" s="1591" t="s">
        <v>546</v>
      </c>
      <c r="K39" s="1591" t="s">
        <v>595</v>
      </c>
      <c r="L39" s="1591" t="s">
        <v>522</v>
      </c>
      <c r="Q39" s="598"/>
      <c r="R39" s="598"/>
      <c r="S39" s="2406"/>
      <c r="T39" s="2343"/>
      <c r="U39" s="524"/>
      <c r="V39" s="1710" t="s">
        <v>622</v>
      </c>
      <c r="W39" s="1448" t="s">
        <v>623</v>
      </c>
      <c r="X39" s="1448" t="s">
        <v>598</v>
      </c>
      <c r="Y39" s="1716" t="s">
        <v>550</v>
      </c>
      <c r="Z39" s="2402" t="s">
        <v>551</v>
      </c>
      <c r="AA39" s="2403"/>
      <c r="AB39" s="2412"/>
      <c r="AC39" s="1710" t="s">
        <v>622</v>
      </c>
      <c r="AD39" s="1448" t="s">
        <v>623</v>
      </c>
      <c r="AE39" s="1448" t="s">
        <v>598</v>
      </c>
      <c r="AF39" s="1716" t="s">
        <v>550</v>
      </c>
      <c r="AG39" s="2402" t="s">
        <v>551</v>
      </c>
      <c r="AH39" s="2403"/>
      <c r="AI39" s="2412"/>
      <c r="AJ39" s="2415"/>
      <c r="AK39" s="2253"/>
    </row>
    <row s="16382" customFormat="1" customHeight="1" ht="0">
      <c r="A40" s="1597"/>
      <c r="B40" s="1597"/>
      <c r="C40" s="1597"/>
      <c r="D40" s="1597"/>
      <c r="E40" s="1597"/>
      <c r="F40" s="1597"/>
      <c r="G40" s="1597"/>
      <c r="H40" s="1597"/>
      <c r="I40" s="1597"/>
      <c r="J40" s="1597"/>
      <c r="K40" s="1597"/>
      <c r="L40" s="1591"/>
      <c r="M40" s="1589"/>
      <c r="N40" s="1589"/>
      <c r="O40" s="1589"/>
      <c r="P40" s="1472"/>
      <c r="Q40" s="1473"/>
      <c r="R40" s="1480">
        <v>1</v>
      </c>
      <c r="S40" s="1504" t="s">
        <v>168</v>
      </c>
      <c r="T40" s="1481" t="s">
        <v>99</v>
      </c>
      <c r="U40" s="1471" t="str">
        <f>OFFSET(U40,0,-1)</f>
        <v>2</v>
      </c>
      <c r="V40" s="1709">
        <f>OFFSET(V40,0,-1)+1</f>
        <v>3</v>
      </c>
      <c r="W40" s="1709">
        <f>OFFSET(W40,0,-1)+1</f>
        <v>4</v>
      </c>
      <c r="X40" s="1709">
        <f>OFFSET(X40,0,-1)+1</f>
        <v>5</v>
      </c>
      <c r="Y40" s="1709">
        <f>OFFSET(Y40,0,-1)+1</f>
        <v>6</v>
      </c>
      <c r="Z40" s="2404">
        <f>OFFSET(Z40,0,-1)+1</f>
        <v>7</v>
      </c>
      <c r="AA40" s="2404"/>
      <c r="AB40" s="1709">
        <f>OFFSET(AB40,0,-2)+1</f>
        <v>8</v>
      </c>
      <c r="AC40" s="1709">
        <f>OFFSET(AC40,0,-1)+1</f>
        <v>9</v>
      </c>
      <c r="AD40" s="1709">
        <f>OFFSET(AD40,0,-1)+1</f>
        <v>10</v>
      </c>
      <c r="AE40" s="1709">
        <f>OFFSET(AE40,0,-1)+1</f>
        <v>11</v>
      </c>
      <c r="AF40" s="1709">
        <f>OFFSET(AF40,0,-1)+1</f>
        <v>12</v>
      </c>
      <c r="AG40" s="2404">
        <f>OFFSET(AG40,0,-1)+1</f>
        <v>13</v>
      </c>
      <c r="AH40" s="2404"/>
      <c r="AI40" s="1709">
        <f>OFFSET(AI40,0,-2)+1</f>
        <v>14</v>
      </c>
      <c r="AJ40" s="1471">
        <f>OFFSET(AJ40,0,-1)</f>
        <v>14</v>
      </c>
      <c r="AK40" s="1709">
        <f>OFFSET(AK40,0,-1)+1</f>
        <v>15</v>
      </c>
      <c r="AL40" s="733"/>
      <c r="AM40" s="733"/>
      <c r="AN40" s="733"/>
      <c r="AO40" s="733"/>
      <c r="AP40" s="733"/>
    </row>
    <row customHeight="1" ht="23.25">
      <c r="A41" s="1590" t="s">
        <v>377</v>
      </c>
      <c r="B41" s="1590"/>
      <c r="C41" s="1590"/>
      <c r="D41" s="1590"/>
      <c r="E41" s="2388">
        <v>1</v>
      </c>
      <c r="F41" s="1590"/>
      <c r="G41" s="1590"/>
      <c r="H41" s="1590"/>
      <c r="I41" s="1590"/>
      <c r="J41" s="1590"/>
      <c r="K41" s="1590"/>
      <c r="L41" s="1591"/>
      <c r="M41" s="1592"/>
      <c r="N41" s="1592"/>
      <c r="O41" s="1592"/>
      <c r="P41" s="583"/>
      <c r="Q41" s="582"/>
      <c r="R41" s="577"/>
      <c r="S41" s="1720">
        <f>INDEX(PT_DIFFERENTIATION_NUM_NTAR,MATCH(A41,PT_DIFFERENTIATION_NTAR_ID,0))</f>
        <v>0</v>
      </c>
      <c r="T41" s="520" t="s">
        <v>179</v>
      </c>
      <c r="U41" s="522"/>
      <c r="V41" s="2382"/>
      <c r="W41" s="2383"/>
      <c r="X41" s="2383"/>
      <c r="Y41" s="2383"/>
      <c r="Z41" s="2383"/>
      <c r="AA41" s="2383"/>
      <c r="AB41" s="2384"/>
      <c r="AC41" s="2382" t="str">
        <f>INDEX(PT_DIFFERENTIATION_NTAR,MATCH(A41,PT_DIFFERENTIATION_NTAR_ID,0))</f>
        <v/>
      </c>
      <c r="AD41" s="2383"/>
      <c r="AE41" s="2383"/>
      <c r="AF41" s="2383"/>
      <c r="AG41" s="2383"/>
      <c r="AH41" s="2383"/>
      <c r="AI41" s="2383"/>
      <c r="AJ41" s="2384"/>
      <c r="AK41" s="14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2"/>
      <c r="AN41" s="722" t="str">
        <f>IF(T41="","",T41)</f>
        <v>Наименование тарифа</v>
      </c>
      <c r="AO41" s="722"/>
      <c r="AP41" s="722"/>
    </row>
    <row customHeight="1" ht="23.25">
      <c r="A42" s="1590" t="s">
        <v>377</v>
      </c>
      <c r="B42" s="1590" t="s">
        <v>378</v>
      </c>
      <c r="C42" s="1590"/>
      <c r="D42" s="1590"/>
      <c r="E42" s="2389"/>
      <c r="F42" s="2388">
        <v>1</v>
      </c>
      <c r="G42" s="1590"/>
      <c r="H42" s="1590"/>
      <c r="I42" s="1590"/>
      <c r="J42" s="1590"/>
      <c r="K42" s="1590"/>
      <c r="L42" s="1591"/>
      <c r="M42" s="1592"/>
      <c r="N42" s="1592"/>
      <c r="O42" s="1592"/>
      <c r="P42" s="1714"/>
      <c r="Q42" s="574"/>
      <c r="R42" s="575"/>
      <c r="S42" s="1720" t="str">
        <f>INDEX(PT_DIFFERENTIATION_NUM_TER,MATCH(B42,PT_DIFFERENTIATION_TER_ID,0))</f>
        <v>.</v>
      </c>
      <c r="T42" s="530" t="s">
        <v>503</v>
      </c>
      <c r="U42" s="522"/>
      <c r="V42" s="2382"/>
      <c r="W42" s="2383"/>
      <c r="X42" s="2383"/>
      <c r="Y42" s="2383"/>
      <c r="Z42" s="2383"/>
      <c r="AA42" s="2383"/>
      <c r="AB42" s="2384"/>
      <c r="AC42" s="2382" t="str">
        <f>INDEX(PT_DIFFERENTIATION_TER,MATCH(B42,PT_DIFFERENTIATION_TER_ID,0))</f>
        <v/>
      </c>
      <c r="AD42" s="2383"/>
      <c r="AE42" s="2383"/>
      <c r="AF42" s="2383"/>
      <c r="AG42" s="2383"/>
      <c r="AH42" s="2383"/>
      <c r="AI42" s="2383"/>
      <c r="AJ42" s="2384"/>
      <c r="AK42" s="1484" t="s">
        <v>504</v>
      </c>
      <c r="AM42" s="722"/>
      <c r="AN42" s="722" t="str">
        <f>IF(T42="","",T42)</f>
        <v>Территория действия тарифа</v>
      </c>
      <c r="AO42" s="722"/>
      <c r="AP42" s="722"/>
    </row>
    <row customHeight="1" ht="23.25">
      <c r="A43" s="1590" t="s">
        <v>377</v>
      </c>
      <c r="B43" s="1590" t="s">
        <v>378</v>
      </c>
      <c r="C43" s="1590" t="s">
        <v>379</v>
      </c>
      <c r="D43" s="1590"/>
      <c r="E43" s="2389"/>
      <c r="F43" s="2389"/>
      <c r="G43" s="2388">
        <v>1</v>
      </c>
      <c r="H43" s="1590"/>
      <c r="I43" s="1590"/>
      <c r="J43" s="1590"/>
      <c r="K43" s="1590"/>
      <c r="L43" s="1591"/>
      <c r="M43" s="1592"/>
      <c r="N43" s="1592"/>
      <c r="O43" s="1592"/>
      <c r="P43" s="576"/>
      <c r="Q43" s="574"/>
      <c r="R43" s="575"/>
      <c r="S43" s="1720" t="str">
        <f>INDEX(PT_DIFFERENTIATION_NUM_CS,MATCH(C43,PT_DIFFERENTIATION_CS_ID,0))</f>
        <v>..</v>
      </c>
      <c r="T43" s="531" t="s">
        <v>620</v>
      </c>
      <c r="U43" s="522"/>
      <c r="V43" s="2382"/>
      <c r="W43" s="2383"/>
      <c r="X43" s="2383"/>
      <c r="Y43" s="2383"/>
      <c r="Z43" s="2383"/>
      <c r="AA43" s="2383"/>
      <c r="AB43" s="2384"/>
      <c r="AC43" s="2382" t="str">
        <f>INDEX(PT_DIFFERENTIATION_CS,MATCH(C43,PT_DIFFERENTIATION_CS_ID,0))</f>
        <v/>
      </c>
      <c r="AD43" s="2383"/>
      <c r="AE43" s="2383"/>
      <c r="AF43" s="2383"/>
      <c r="AG43" s="2383"/>
      <c r="AH43" s="2383"/>
      <c r="AI43" s="2383"/>
      <c r="AJ43" s="2384"/>
      <c r="AK43" s="1484" t="s">
        <v>621</v>
      </c>
      <c r="AM43" s="722"/>
      <c r="AN43" s="722" t="str">
        <f>IF(T43="","",T43)</f>
        <v>Наименование централизованной системы водоотведения</v>
      </c>
      <c r="AO43" s="722"/>
      <c r="AP43" s="722"/>
    </row>
    <row customHeight="1" ht="23.25">
      <c r="A44" s="1590" t="s">
        <v>377</v>
      </c>
      <c r="B44" s="1590" t="s">
        <v>378</v>
      </c>
      <c r="C44" s="1590" t="s">
        <v>379</v>
      </c>
      <c r="D44" s="1590" t="s">
        <v>625</v>
      </c>
      <c r="E44" s="2389"/>
      <c r="F44" s="2389"/>
      <c r="G44" s="2389"/>
      <c r="H44" s="2389"/>
      <c r="I44" s="2390" t="str">
        <f>S43&amp;".1"</f>
        <v>...1</v>
      </c>
      <c r="J44" s="1590"/>
      <c r="K44" s="1590"/>
      <c r="L44" s="1591"/>
      <c r="P44" s="2392">
        <v>1</v>
      </c>
      <c r="Q44" s="1708"/>
      <c r="R44" s="578"/>
      <c r="S44" s="1720" t="str">
        <f>$I44</f>
        <v>...1</v>
      </c>
      <c r="T44" s="507" t="s">
        <v>587</v>
      </c>
      <c r="U44" s="522"/>
      <c r="V44" s="2475"/>
      <c r="W44" s="2476"/>
      <c r="X44" s="2476"/>
      <c r="Y44" s="2476"/>
      <c r="Z44" s="2476"/>
      <c r="AA44" s="2476"/>
      <c r="AB44" s="2477"/>
      <c r="AC44" s="2478"/>
      <c r="AD44" s="2479"/>
      <c r="AE44" s="2479"/>
      <c r="AF44" s="2479"/>
      <c r="AG44" s="2479"/>
      <c r="AH44" s="2479"/>
      <c r="AI44" s="2479"/>
      <c r="AJ44" s="2480"/>
      <c r="AK44" s="1484" t="s">
        <v>588</v>
      </c>
      <c r="AM44" s="722"/>
      <c r="AN44" s="722" t="str">
        <f>IF(T44="","",T44)</f>
        <v>Наименование признака дифференциации</v>
      </c>
      <c r="AO44" s="722"/>
      <c r="AP44" s="722"/>
    </row>
    <row customHeight="1" ht="23.25">
      <c r="A45" s="1590" t="s">
        <v>377</v>
      </c>
      <c r="B45" s="1590" t="s">
        <v>378</v>
      </c>
      <c r="C45" s="1590" t="s">
        <v>379</v>
      </c>
      <c r="D45" s="1590" t="s">
        <v>625</v>
      </c>
      <c r="E45" s="2389"/>
      <c r="F45" s="2389"/>
      <c r="G45" s="2389"/>
      <c r="H45" s="2389"/>
      <c r="I45" s="2391"/>
      <c r="J45" s="2390" t="str">
        <f>I44&amp;".1"</f>
        <v>...1.1</v>
      </c>
      <c r="K45" s="1590"/>
      <c r="L45" s="1591" t="s">
        <v>512</v>
      </c>
      <c r="P45" s="2392"/>
      <c r="Q45" s="2392">
        <v>1</v>
      </c>
      <c r="R45" s="579"/>
      <c r="S45" s="1720" t="str">
        <f>$J45</f>
        <v>...1.1</v>
      </c>
      <c r="T45" s="508" t="s">
        <v>513</v>
      </c>
      <c r="U45" s="522"/>
      <c r="V45" s="2376"/>
      <c r="W45" s="2377"/>
      <c r="X45" s="2377"/>
      <c r="Y45" s="2377"/>
      <c r="Z45" s="2377"/>
      <c r="AA45" s="2377"/>
      <c r="AB45" s="2378"/>
      <c r="AC45" s="2376"/>
      <c r="AD45" s="2377"/>
      <c r="AE45" s="2377"/>
      <c r="AF45" s="2377"/>
      <c r="AG45" s="2377"/>
      <c r="AH45" s="2377"/>
      <c r="AI45" s="2377"/>
      <c r="AJ45" s="2378"/>
      <c r="AK45" s="1534" t="s">
        <v>589</v>
      </c>
      <c r="AM45" s="722"/>
      <c r="AN45" s="722" t="str">
        <f>IF(T45="","",T45)</f>
        <v>Группа потребителей</v>
      </c>
      <c r="AO45" s="722"/>
      <c r="AP45" s="722"/>
    </row>
    <row customHeight="1" ht="23.25">
      <c r="A46" s="1590" t="s">
        <v>377</v>
      </c>
      <c r="B46" s="1590" t="s">
        <v>378</v>
      </c>
      <c r="C46" s="1590" t="s">
        <v>379</v>
      </c>
      <c r="D46" s="1590" t="s">
        <v>625</v>
      </c>
      <c r="E46" s="2389"/>
      <c r="F46" s="2389"/>
      <c r="G46" s="2389"/>
      <c r="H46" s="2389"/>
      <c r="I46" s="2391"/>
      <c r="J46" s="2391"/>
      <c r="K46" s="2390" t="str">
        <f>J45&amp;".1"</f>
        <v>...1.1.1</v>
      </c>
      <c r="L46" s="1591"/>
      <c r="P46" s="2392"/>
      <c r="Q46" s="2392"/>
      <c r="R46" s="579">
        <v>1</v>
      </c>
      <c r="S46" s="1720" t="str">
        <f>$K46</f>
        <v>...1.1.1</v>
      </c>
      <c r="T46" s="1664"/>
      <c r="U46" s="522"/>
      <c r="V46" s="1587"/>
      <c r="W46" s="1587"/>
      <c r="X46" s="1588"/>
      <c r="Y46" s="2386"/>
      <c r="Z46" s="2385" t="s">
        <v>63</v>
      </c>
      <c r="AA46" s="2386"/>
      <c r="AB46" s="2385" t="s">
        <v>63</v>
      </c>
      <c r="AC46" s="973"/>
      <c r="AD46" s="973"/>
      <c r="AE46" s="1483"/>
      <c r="AF46" s="2393"/>
      <c r="AG46" s="2263" t="s">
        <v>63</v>
      </c>
      <c r="AH46" s="2395"/>
      <c r="AI46" s="2263" t="s">
        <v>53</v>
      </c>
      <c r="AJ46" s="1665"/>
      <c r="AK46" s="24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3">
        <f>STRCHECKDATE(V47:AJ47)</f>
      </c>
      <c r="AM46" s="722"/>
      <c r="AN46" s="722" t="str">
        <f>IF(T46="","",T46)</f>
        <v/>
      </c>
      <c r="AO46" s="722"/>
      <c r="AP46" s="722"/>
    </row>
    <row customHeight="1" ht="0">
      <c r="A47" s="1590" t="s">
        <v>377</v>
      </c>
      <c r="B47" s="1590" t="s">
        <v>378</v>
      </c>
      <c r="C47" s="1590" t="s">
        <v>379</v>
      </c>
      <c r="D47" s="1590" t="s">
        <v>625</v>
      </c>
      <c r="E47" s="2389"/>
      <c r="F47" s="2389"/>
      <c r="G47" s="2389"/>
      <c r="H47" s="2389"/>
      <c r="I47" s="2391"/>
      <c r="J47" s="2391"/>
      <c r="K47" s="2390"/>
      <c r="L47" s="1591"/>
      <c r="P47" s="2392"/>
      <c r="Q47" s="2392"/>
      <c r="R47" s="579"/>
      <c r="S47" s="1717"/>
      <c r="T47" s="522"/>
      <c r="U47" s="522"/>
      <c r="V47" s="1587"/>
      <c r="W47" s="1587"/>
      <c r="X47" s="550" t="str">
        <f>Y46&amp;"-"&amp;AA46</f>
        <v>-</v>
      </c>
      <c r="Y47" s="2385"/>
      <c r="Z47" s="2385"/>
      <c r="AA47" s="2385"/>
      <c r="AB47" s="2385"/>
      <c r="AC47" s="547"/>
      <c r="AD47" s="547"/>
      <c r="AE47" s="550" t="str">
        <f>AF46&amp;"-"&amp;AH46</f>
        <v>-</v>
      </c>
      <c r="AF47" s="2394"/>
      <c r="AG47" s="2263"/>
      <c r="AH47" s="2396"/>
      <c r="AI47" s="2263"/>
      <c r="AJ47" s="1666"/>
      <c r="AK47" s="2481"/>
      <c r="AM47" s="722"/>
      <c r="AN47" s="722" t="str">
        <f>IF(T47="","",T47)</f>
        <v/>
      </c>
      <c r="AO47" s="722"/>
      <c r="AP47" s="722"/>
    </row>
    <row customHeight="1" ht="21">
      <c r="A48" s="1590" t="s">
        <v>377</v>
      </c>
      <c r="B48" s="1590" t="s">
        <v>378</v>
      </c>
      <c r="C48" s="1590" t="s">
        <v>379</v>
      </c>
      <c r="D48" s="1590" t="s">
        <v>625</v>
      </c>
      <c r="E48" s="2389"/>
      <c r="F48" s="2389"/>
      <c r="G48" s="2389"/>
      <c r="H48" s="2389"/>
      <c r="I48" s="2391"/>
      <c r="J48" s="2390"/>
      <c r="K48" s="1590"/>
      <c r="L48" s="1591"/>
      <c r="P48" s="2392"/>
      <c r="Q48" s="2392"/>
      <c r="R48" s="578"/>
      <c r="S48" s="1505"/>
      <c r="T48" s="509" t="s">
        <v>590</v>
      </c>
      <c r="U48" s="589"/>
      <c r="V48" s="589"/>
      <c r="W48" s="589"/>
      <c r="X48" s="589"/>
      <c r="Y48" s="589"/>
      <c r="Z48" s="589"/>
      <c r="AA48" s="589"/>
      <c r="AB48" s="589"/>
      <c r="AC48" s="589"/>
      <c r="AD48" s="589"/>
      <c r="AE48" s="589"/>
      <c r="AF48" s="589"/>
      <c r="AG48" s="589"/>
      <c r="AH48" s="589"/>
      <c r="AI48" s="589"/>
      <c r="AJ48" s="589"/>
      <c r="AK48" s="1484" t="s">
        <v>591</v>
      </c>
      <c r="AM48" s="722"/>
      <c r="AN48" s="722" t="str">
        <f>IF(T48="","",T48)</f>
        <v>Добавить значение признака дифференциации</v>
      </c>
      <c r="AO48" s="722"/>
      <c r="AP48" s="722"/>
    </row>
    <row customHeight="1" ht="21">
      <c r="A49" s="1590" t="s">
        <v>377</v>
      </c>
      <c r="B49" s="1590" t="s">
        <v>378</v>
      </c>
      <c r="C49" s="1590" t="s">
        <v>379</v>
      </c>
      <c r="D49" s="1590" t="s">
        <v>625</v>
      </c>
      <c r="E49" s="2389"/>
      <c r="F49" s="2389"/>
      <c r="G49" s="2389"/>
      <c r="H49" s="2389"/>
      <c r="I49" s="2390"/>
      <c r="J49" s="1590"/>
      <c r="K49" s="1590"/>
      <c r="L49" s="1591"/>
      <c r="P49" s="2392"/>
      <c r="Q49" s="1708"/>
      <c r="R49" s="578"/>
      <c r="S49" s="1505"/>
      <c r="T49" s="587" t="s">
        <v>518</v>
      </c>
      <c r="U49" s="589"/>
      <c r="V49" s="589"/>
      <c r="W49" s="589"/>
      <c r="X49" s="589"/>
      <c r="Y49" s="589"/>
      <c r="Z49" s="589"/>
      <c r="AA49" s="589"/>
      <c r="AB49" s="588"/>
      <c r="AC49" s="589"/>
      <c r="AD49" s="589"/>
      <c r="AE49" s="589"/>
      <c r="AF49" s="589"/>
      <c r="AG49" s="589"/>
      <c r="AH49" s="589"/>
      <c r="AI49" s="588"/>
      <c r="AJ49" s="589"/>
      <c r="AK49" s="1667"/>
      <c r="AM49" s="722"/>
      <c r="AN49" s="722" t="str">
        <f>IF(T49="","",T49)</f>
        <v>Добавить группу потребителей</v>
      </c>
      <c r="AO49" s="722"/>
      <c r="AP49" s="722"/>
    </row>
    <row customHeight="1" ht="21">
      <c r="A50" s="1590" t="s">
        <v>377</v>
      </c>
      <c r="B50" s="1590" t="s">
        <v>378</v>
      </c>
      <c r="C50" s="1590" t="s">
        <v>379</v>
      </c>
      <c r="D50" s="1590" t="s">
        <v>625</v>
      </c>
      <c r="E50" s="2389"/>
      <c r="F50" s="2389"/>
      <c r="G50" s="2389"/>
      <c r="H50" s="2388"/>
      <c r="I50" s="1590"/>
      <c r="J50" s="1590"/>
      <c r="K50" s="1590"/>
      <c r="L50" s="1591"/>
      <c r="M50" s="1592"/>
      <c r="N50" s="1592"/>
      <c r="O50" s="759"/>
      <c r="P50" s="582"/>
      <c r="Q50" s="597"/>
      <c r="R50" s="577"/>
      <c r="S50" s="1505"/>
      <c r="T50" s="594" t="s">
        <v>592</v>
      </c>
      <c r="U50" s="589"/>
      <c r="V50" s="589"/>
      <c r="W50" s="589"/>
      <c r="X50" s="589"/>
      <c r="Y50" s="589"/>
      <c r="Z50" s="589"/>
      <c r="AA50" s="589"/>
      <c r="AB50" s="588"/>
      <c r="AC50" s="589"/>
      <c r="AD50" s="589"/>
      <c r="AE50" s="589"/>
      <c r="AF50" s="589"/>
      <c r="AG50" s="589"/>
      <c r="AH50" s="589"/>
      <c r="AI50" s="588"/>
      <c r="AJ50" s="589"/>
      <c r="AK50" s="525"/>
      <c r="AM50" s="722"/>
      <c r="AN50" s="722" t="str">
        <f>IF(T50="","",T50)</f>
        <v>Добавить наименование признака дифференциации</v>
      </c>
      <c r="AO50" s="722"/>
      <c r="AP50" s="722"/>
    </row>
    <row s="16531" customFormat="1" customHeight="1" ht="0">
      <c r="A51" s="1570" t="s">
        <v>377</v>
      </c>
      <c r="B51" s="1570" t="s">
        <v>378</v>
      </c>
      <c r="C51" s="1541"/>
      <c r="D51" s="1541"/>
      <c r="E51" s="2389"/>
      <c r="F51" s="2388"/>
      <c r="G51" s="1541"/>
      <c r="H51" s="1541"/>
      <c r="I51" s="1541"/>
      <c r="J51" s="1541"/>
      <c r="K51" s="1541"/>
      <c r="L51" s="1721"/>
      <c r="M51" s="1548"/>
      <c r="N51" s="1548"/>
      <c r="P51" s="1543"/>
      <c r="Q51" s="1544"/>
      <c r="R51" s="1543"/>
      <c r="S51" s="1549"/>
      <c r="T51" s="1552" t="s">
        <v>305</v>
      </c>
      <c r="U51" s="1551"/>
      <c r="V51" s="1551"/>
      <c r="W51" s="1551"/>
      <c r="X51" s="1551"/>
      <c r="Y51" s="1551"/>
      <c r="Z51" s="1551"/>
      <c r="AA51" s="1551"/>
      <c r="AB51" s="1551"/>
      <c r="AC51" s="1551"/>
      <c r="AD51" s="1551"/>
      <c r="AE51" s="1551"/>
      <c r="AF51" s="1551"/>
      <c r="AG51" s="1551"/>
      <c r="AH51" s="1551"/>
      <c r="AI51" s="1551"/>
      <c r="AJ51" s="1551"/>
      <c r="AK51" s="1551"/>
      <c r="AM51" s="1011"/>
      <c r="AN51" s="1011" t="str">
        <f>IF(T51="","",T51)</f>
        <v>Добавить централизованную систему для дифференциации</v>
      </c>
      <c r="AO51" s="1011"/>
      <c r="AP51" s="1011"/>
    </row>
    <row s="16622" customFormat="1" customHeight="1" ht="0">
      <c r="A52" s="1570" t="s">
        <v>377</v>
      </c>
      <c r="B52" s="1570"/>
      <c r="C52" s="1570"/>
      <c r="D52" s="1570"/>
      <c r="E52" s="2388"/>
      <c r="F52" s="1570"/>
      <c r="G52" s="1570"/>
      <c r="H52" s="1570"/>
      <c r="I52" s="1570"/>
      <c r="J52" s="1570"/>
      <c r="K52" s="1570"/>
      <c r="L52" s="1573"/>
      <c r="M52" s="1548"/>
      <c r="N52" s="1548"/>
      <c r="O52" s="740"/>
      <c r="P52" s="602"/>
      <c r="Q52" s="1571"/>
      <c r="R52" s="602"/>
      <c r="S52" s="1549"/>
      <c r="T52" s="1552" t="s">
        <v>358</v>
      </c>
      <c r="U52" s="1551"/>
      <c r="V52" s="1551"/>
      <c r="W52" s="1551"/>
      <c r="X52" s="1551"/>
      <c r="Y52" s="1551"/>
      <c r="Z52" s="1551"/>
      <c r="AA52" s="1551"/>
      <c r="AB52" s="1551"/>
      <c r="AC52" s="1551"/>
      <c r="AD52" s="1551"/>
      <c r="AE52" s="1551"/>
      <c r="AF52" s="1551"/>
      <c r="AG52" s="1551"/>
      <c r="AH52" s="1551"/>
      <c r="AI52" s="1551"/>
      <c r="AJ52" s="1551"/>
      <c r="AK52" s="1551"/>
      <c r="AM52" s="722"/>
      <c r="AN52" s="722" t="str">
        <f>IF(T52="","",T52)</f>
        <v>Добавить территорию для дифференциации</v>
      </c>
      <c r="AO52" s="722"/>
      <c r="AP52" s="722"/>
    </row>
    <row s="16531"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359</v>
      </c>
      <c r="U53" s="1551"/>
      <c r="V53" s="1551"/>
      <c r="W53" s="1551"/>
      <c r="X53" s="1551"/>
      <c r="Y53" s="1551"/>
      <c r="Z53" s="1551"/>
      <c r="AA53" s="1551"/>
      <c r="AB53" s="1551"/>
      <c r="AC53" s="1551"/>
      <c r="AD53" s="1551"/>
      <c r="AE53" s="1551"/>
      <c r="AF53" s="1551"/>
      <c r="AG53" s="1551"/>
      <c r="AH53" s="1551"/>
      <c r="AI53" s="1551"/>
      <c r="AJ53" s="1551"/>
      <c r="AK53" s="1551"/>
      <c r="AM53" s="1011"/>
      <c r="AN53" s="1011" t="str">
        <f>IF(T53="","",T53)</f>
        <v>Добавить наименование тарифа</v>
      </c>
      <c r="AO53" s="1011"/>
      <c r="AP53" s="1011"/>
    </row>
    <row customHeight="1" ht="11.25">
      <c r="M54" s="1384"/>
      <c r="N54" s="1384"/>
      <c r="O54" s="759"/>
      <c r="P54" s="1379"/>
      <c r="Q54" s="1379"/>
      <c r="R54" s="1379"/>
      <c r="S54" s="1379"/>
      <c r="AL54" s="1379"/>
      <c r="AM54" s="1379"/>
      <c r="AN54" s="1379"/>
      <c r="AO54" s="1379"/>
      <c r="AP54" s="1379"/>
    </row>
    <row customHeight="1" ht="14.25">
      <c r="O55" s="759"/>
      <c r="S55" s="1479"/>
      <c r="T55" s="2387"/>
      <c r="U55" s="2387"/>
      <c r="V55" s="2387"/>
      <c r="W55" s="2387"/>
      <c r="X55" s="2387"/>
      <c r="Y55" s="2387"/>
      <c r="Z55" s="2387"/>
      <c r="AA55" s="2387"/>
      <c r="AB55" s="2387"/>
      <c r="AC55" s="2387"/>
      <c r="AD55" s="2387"/>
      <c r="AE55" s="2387"/>
      <c r="AF55" s="2387"/>
      <c r="AG55" s="2387"/>
      <c r="AH55" s="2387"/>
      <c r="AI55" s="2387"/>
      <c r="AJ55" s="2387"/>
      <c r="AK55" s="2387"/>
    </row>
    <row customHeight="1" ht="14.25">
      <c r="O56" s="759"/>
    </row>
    <row customHeight="1" ht="14.25">
      <c r="O57" s="759"/>
      <c r="S57" s="1479"/>
      <c r="T57" s="2387"/>
      <c r="U57" s="2387"/>
      <c r="V57" s="2387"/>
      <c r="W57" s="2387"/>
      <c r="X57" s="2387"/>
      <c r="Y57" s="2387"/>
      <c r="Z57" s="2387"/>
      <c r="AA57" s="2387"/>
      <c r="AB57" s="2387"/>
      <c r="AC57" s="2387"/>
      <c r="AD57" s="2387"/>
      <c r="AE57" s="2387"/>
      <c r="AF57" s="2387"/>
      <c r="AG57" s="2387"/>
      <c r="AH57" s="2387"/>
      <c r="AI57" s="2387"/>
      <c r="AJ57" s="2387"/>
      <c r="AK57" s="23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F24724-F99E-1D9E-1946-60DDEDBC1A1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6550" width="11.57421875" hidden="1" customWidth="1"/>
    <col min="2" max="2" style="16550" width="11.00390625" hidden="1" customWidth="1"/>
    <col min="3" max="3" style="16550" width="10.57421875" hidden="1"/>
    <col min="4" max="4" style="16550" width="12.8515625" hidden="1" customWidth="1"/>
    <col min="5" max="5" style="16550" width="10.00390625" hidden="1" customWidth="1"/>
    <col min="6" max="6" style="16550" width="8.7109375" hidden="1" customWidth="1"/>
    <col min="7" max="7" style="16550" width="7.57421875" hidden="1" customWidth="1"/>
    <col min="8" max="8" style="16550" width="11.421875" hidden="1" customWidth="1"/>
    <col min="9" max="9" style="16550" width="12.00390625" hidden="1" customWidth="1"/>
    <col min="10" max="10" style="16550" width="9.8515625" hidden="1" customWidth="1"/>
    <col min="11" max="11" style="16550" width="11.421875" hidden="1" customWidth="1"/>
    <col min="12" max="12" style="16899" width="19.140625" hidden="1" customWidth="1"/>
    <col min="13" max="14" style="16631" width="12.28125" hidden="1" customWidth="1"/>
    <col min="15" max="15" style="16631" width="23.421875" hidden="1" customWidth="1"/>
    <col min="16" max="16" style="16631" width="3.7109375" hidden="1" customWidth="1"/>
    <col min="17" max="17" style="16803" width="3.7109375" hidden="1" customWidth="1"/>
    <col min="18" max="18" style="16633" width="3.7109375" customWidth="1"/>
    <col min="19" max="19" style="16634" width="12.7109375" customWidth="1"/>
    <col min="20" max="20" style="16635" width="32.00390625" customWidth="1"/>
    <col min="21" max="21" style="16635" width="0.140625" customWidth="1"/>
    <col min="22" max="25" style="16635" width="21.7109375" hidden="1" customWidth="1"/>
    <col min="26" max="26" style="16635" width="11.7109375" hidden="1" customWidth="1"/>
    <col min="27" max="27" style="16635" width="3.7109375" hidden="1" customWidth="1"/>
    <col min="28" max="28" style="16635" width="11.7109375" hidden="1" customWidth="1"/>
    <col min="29" max="29" style="16635" width="8.57421875" hidden="1" customWidth="1"/>
    <col min="30" max="32" style="16635" width="3.7109375" customWidth="1"/>
    <col min="33" max="33" style="16635" width="24.7109375" customWidth="1"/>
    <col min="34" max="36" style="16635" width="3.7109375" customWidth="1"/>
    <col min="37" max="37" style="16635" width="24.7109375" customWidth="1"/>
    <col min="38" max="40" style="16635" width="3.7109375" customWidth="1"/>
    <col min="41" max="41" style="16635" width="18.8515625" customWidth="1"/>
    <col min="42" max="44" style="16635" width="3.7109375" customWidth="1"/>
    <col min="45" max="45" style="16635" width="18.8515625" customWidth="1"/>
    <col min="46" max="49" style="16635" width="21.7109375" customWidth="1"/>
    <col min="50" max="50" style="16635" width="11.7109375" customWidth="1"/>
    <col min="51" max="51" style="16635" width="3.7109375" customWidth="1"/>
    <col min="52" max="52" style="16635" width="11.7109375" customWidth="1"/>
    <col min="53" max="53" style="16635" width="8.57421875" hidden="1" customWidth="1"/>
    <col min="54" max="54" style="16635" width="4.7109375" customWidth="1"/>
    <col min="55" max="55" style="16635" width="115.7109375" customWidth="1"/>
    <col min="56" max="57" style="16622" width="10.57421875"/>
    <col min="58" max="58" style="16622" width="11.140625" customWidth="1"/>
    <col min="59" max="60" style="16622" width="10.57421875"/>
  </cols>
  <sheetData>
    <row customHeight="1" ht="14.25" hidden="1">
      <c r="W1" s="549"/>
      <c r="Y1" s="549"/>
      <c r="Z1" s="549"/>
      <c r="AW1" s="549"/>
      <c r="AX1" s="549"/>
    </row>
    <row customHeight="1" ht="21" hidden="1">
      <c r="A2" s="1590"/>
      <c r="B2" s="1590"/>
      <c r="C2" s="1590"/>
      <c r="D2" s="1590"/>
      <c r="E2" s="2388">
        <v>1</v>
      </c>
      <c r="F2" s="1590"/>
      <c r="G2" s="1590"/>
      <c r="H2" s="1590"/>
      <c r="I2" s="1590"/>
      <c r="J2" s="1590"/>
      <c r="K2" s="1590"/>
      <c r="L2" s="1591"/>
      <c r="M2" s="1592"/>
      <c r="N2" s="1592"/>
      <c r="O2" s="1592"/>
      <c r="P2" s="1636"/>
      <c r="Q2" s="1095"/>
      <c r="R2" s="577"/>
      <c r="S2" s="1720">
        <f>INDEX(PT_DIFFERENTIATION_NUM_NTAR,MATCH(A2,PT_DIFFERENTIATION_NTAR_ID,0))</f>
      </c>
      <c r="T2" s="520" t="s">
        <v>179</v>
      </c>
      <c r="U2" s="522"/>
      <c r="V2" s="2383"/>
      <c r="W2" s="2383"/>
      <c r="X2" s="2383"/>
      <c r="Y2" s="2383"/>
      <c r="Z2" s="2383"/>
      <c r="AA2" s="2383"/>
      <c r="AB2" s="2383"/>
      <c r="AC2" s="2384"/>
      <c r="AD2" s="2382">
        <f>INDEX(PT_DIFFERENTIATION_NTAR,MATCH(A2,PT_DIFFERENTIATION_NTAR_ID,0))</f>
      </c>
      <c r="AE2" s="2383"/>
      <c r="AF2" s="2383"/>
      <c r="AG2" s="2383"/>
      <c r="AH2" s="2383"/>
      <c r="AI2" s="2383"/>
      <c r="AJ2" s="2383"/>
      <c r="AK2" s="2383"/>
      <c r="AL2" s="2383"/>
      <c r="AM2" s="2383"/>
      <c r="AN2" s="2383"/>
      <c r="AO2" s="2383"/>
      <c r="AP2" s="2383"/>
      <c r="AQ2" s="2383"/>
      <c r="AR2" s="2383"/>
      <c r="AS2" s="2383"/>
      <c r="AT2" s="2383"/>
      <c r="AU2" s="2383"/>
      <c r="AV2" s="2383"/>
      <c r="AW2" s="2383"/>
      <c r="AX2" s="2383"/>
      <c r="AY2" s="2383"/>
      <c r="AZ2" s="2383"/>
      <c r="BA2" s="2383"/>
      <c r="BB2" s="2384"/>
      <c r="BC2" s="14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2"/>
      <c r="BF2" s="722" t="str">
        <f>IF(T2="","",T2)</f>
        <v>Наименование тарифа</v>
      </c>
      <c r="BG2" s="722"/>
      <c r="BH2" s="722"/>
    </row>
    <row customHeight="1" ht="21" hidden="1">
      <c r="A3" s="1590"/>
      <c r="B3" s="1590"/>
      <c r="C3" s="1590"/>
      <c r="D3" s="1590"/>
      <c r="E3" s="2389"/>
      <c r="F3" s="2388">
        <v>1</v>
      </c>
      <c r="G3" s="1590"/>
      <c r="H3" s="1590"/>
      <c r="I3" s="1590"/>
      <c r="J3" s="1590"/>
      <c r="K3" s="1590"/>
      <c r="L3" s="1591"/>
      <c r="M3" s="1592"/>
      <c r="N3" s="1592"/>
      <c r="O3" s="1592"/>
      <c r="P3" s="1637"/>
      <c r="Q3" s="1638"/>
      <c r="R3" s="575"/>
      <c r="S3" s="1720">
        <f>INDEX(PT_DIFFERENTIATION_NUM_TER,MATCH(B3,PT_DIFFERENTIATION_TER_ID,0))</f>
      </c>
      <c r="T3" s="530" t="s">
        <v>503</v>
      </c>
      <c r="U3" s="522"/>
      <c r="V3" s="2383"/>
      <c r="W3" s="2383"/>
      <c r="X3" s="2383"/>
      <c r="Y3" s="2383"/>
      <c r="Z3" s="2383"/>
      <c r="AA3" s="2383"/>
      <c r="AB3" s="2383"/>
      <c r="AC3" s="2384"/>
      <c r="AD3" s="2382">
        <f>INDEX(PT_DIFFERENTIATION_TER,MATCH(B3,PT_DIFFERENTIATION_TER_ID,0))</f>
      </c>
      <c r="AE3" s="2383"/>
      <c r="AF3" s="2383"/>
      <c r="AG3" s="2383"/>
      <c r="AH3" s="2383"/>
      <c r="AI3" s="2383"/>
      <c r="AJ3" s="2383"/>
      <c r="AK3" s="2383"/>
      <c r="AL3" s="2383"/>
      <c r="AM3" s="2383"/>
      <c r="AN3" s="2383"/>
      <c r="AO3" s="2383"/>
      <c r="AP3" s="2383"/>
      <c r="AQ3" s="2383"/>
      <c r="AR3" s="2383"/>
      <c r="AS3" s="2383"/>
      <c r="AT3" s="2383"/>
      <c r="AU3" s="2383"/>
      <c r="AV3" s="2383"/>
      <c r="AW3" s="2383"/>
      <c r="AX3" s="2383"/>
      <c r="AY3" s="2383"/>
      <c r="AZ3" s="2383"/>
      <c r="BA3" s="2383"/>
      <c r="BB3" s="2384"/>
      <c r="BC3" s="1484" t="s">
        <v>504</v>
      </c>
      <c r="BE3" s="722"/>
      <c r="BF3" s="722" t="str">
        <f>IF(T3="","",T3)</f>
        <v>Территория действия тарифа</v>
      </c>
      <c r="BG3" s="722"/>
      <c r="BH3" s="722"/>
    </row>
    <row customHeight="1" ht="33.75" hidden="1">
      <c r="A4" s="1590"/>
      <c r="B4" s="1590"/>
      <c r="C4" s="1590"/>
      <c r="D4" s="1590"/>
      <c r="E4" s="2389"/>
      <c r="F4" s="2389"/>
      <c r="G4" s="2388">
        <v>1</v>
      </c>
      <c r="H4" s="1590"/>
      <c r="I4" s="1590"/>
      <c r="J4" s="1590"/>
      <c r="K4" s="1590"/>
      <c r="L4" s="1591"/>
      <c r="M4" s="1592"/>
      <c r="N4" s="1592"/>
      <c r="O4" s="1592"/>
      <c r="P4" s="1639"/>
      <c r="Q4" s="1638"/>
      <c r="R4" s="575"/>
      <c r="S4" s="1720">
        <f>INDEX(PT_DIFFERENTIATION_NUM_CS,MATCH(C4,PT_DIFFERENTIATION_CS_ID,0))</f>
      </c>
      <c r="T4" s="531" t="s">
        <v>620</v>
      </c>
      <c r="U4" s="522"/>
      <c r="V4" s="2383"/>
      <c r="W4" s="2383"/>
      <c r="X4" s="2383"/>
      <c r="Y4" s="2383"/>
      <c r="Z4" s="2383"/>
      <c r="AA4" s="2383"/>
      <c r="AB4" s="2383"/>
      <c r="AC4" s="2384"/>
      <c r="AD4" s="2382">
        <f>INDEX(PT_DIFFERENTIATION_CS,MATCH(C4,PT_DIFFERENTIATION_CS_ID,0))</f>
      </c>
      <c r="AE4" s="2383"/>
      <c r="AF4" s="2383"/>
      <c r="AG4" s="2383"/>
      <c r="AH4" s="2383"/>
      <c r="AI4" s="2383"/>
      <c r="AJ4" s="2383"/>
      <c r="AK4" s="2383"/>
      <c r="AL4" s="2383"/>
      <c r="AM4" s="2383"/>
      <c r="AN4" s="2383"/>
      <c r="AO4" s="2383"/>
      <c r="AP4" s="2383"/>
      <c r="AQ4" s="2383"/>
      <c r="AR4" s="2383"/>
      <c r="AS4" s="2383"/>
      <c r="AT4" s="2383"/>
      <c r="AU4" s="2383"/>
      <c r="AV4" s="2383"/>
      <c r="AW4" s="2383"/>
      <c r="AX4" s="2383"/>
      <c r="AY4" s="2383"/>
      <c r="AZ4" s="2383"/>
      <c r="BA4" s="2383"/>
      <c r="BB4" s="2384"/>
      <c r="BC4" s="1484" t="s">
        <v>621</v>
      </c>
      <c r="BE4" s="722"/>
      <c r="BF4" s="722" t="str">
        <f>IF(T4="","",T4)</f>
        <v>Наименование централизованной системы водоотведения</v>
      </c>
      <c r="BG4" s="722"/>
      <c r="BH4" s="722"/>
    </row>
    <row s="16622" customFormat="1" customHeight="1" ht="14.25" hidden="1">
      <c r="A5" s="1570"/>
      <c r="B5" s="1570"/>
      <c r="C5" s="1570"/>
      <c r="D5" s="1570"/>
      <c r="E5" s="2389"/>
      <c r="F5" s="2389"/>
      <c r="G5" s="2389"/>
      <c r="H5" s="2388">
        <v>1</v>
      </c>
      <c r="I5" s="1570"/>
      <c r="J5" s="1570"/>
      <c r="K5" s="1570"/>
      <c r="L5" s="1573"/>
      <c r="M5" s="1542"/>
      <c r="N5" s="1542"/>
      <c r="O5" s="1542"/>
      <c r="P5" s="1724"/>
      <c r="Q5" s="1725"/>
      <c r="R5" s="579"/>
      <c r="S5" s="1265"/>
      <c r="T5" s="1726"/>
      <c r="U5" s="1611"/>
      <c r="V5" s="2431"/>
      <c r="W5" s="2431"/>
      <c r="X5" s="2431"/>
      <c r="Y5" s="2431"/>
      <c r="Z5" s="2431"/>
      <c r="AA5" s="2431"/>
      <c r="AB5" s="2431"/>
      <c r="AC5" s="2432"/>
      <c r="AD5" s="2430"/>
      <c r="AE5" s="2431"/>
      <c r="AF5" s="2431"/>
      <c r="AG5" s="2431"/>
      <c r="AH5" s="2431"/>
      <c r="AI5" s="2431"/>
      <c r="AJ5" s="2431"/>
      <c r="AK5" s="2431"/>
      <c r="AL5" s="2431"/>
      <c r="AM5" s="2431"/>
      <c r="AN5" s="2431"/>
      <c r="AO5" s="2431"/>
      <c r="AP5" s="2431"/>
      <c r="AQ5" s="2431"/>
      <c r="AR5" s="2431"/>
      <c r="AS5" s="2431"/>
      <c r="AT5" s="2431"/>
      <c r="AU5" s="2431"/>
      <c r="AV5" s="2431"/>
      <c r="AW5" s="2431"/>
      <c r="AX5" s="2431"/>
      <c r="AY5" s="2431"/>
      <c r="AZ5" s="2431"/>
      <c r="BA5" s="2431"/>
      <c r="BB5" s="2432"/>
      <c r="BC5" s="1612" t="s">
        <v>508</v>
      </c>
      <c r="BE5" s="722"/>
      <c r="BF5" s="722" t="str">
        <f>IF(T5="","",T5)</f>
        <v/>
      </c>
      <c r="BG5" s="722"/>
      <c r="BH5" s="722"/>
    </row>
    <row s="16622" customFormat="1" customHeight="1" ht="14.25" hidden="1">
      <c r="A6" s="1570"/>
      <c r="B6" s="1570"/>
      <c r="C6" s="1570"/>
      <c r="D6" s="1570"/>
      <c r="E6" s="2389"/>
      <c r="F6" s="2389"/>
      <c r="G6" s="2389"/>
      <c r="H6" s="2389"/>
      <c r="I6" s="2390" t="str">
        <f>S5&amp;".1"</f>
        <v>.1</v>
      </c>
      <c r="J6" s="1570"/>
      <c r="K6" s="1570"/>
      <c r="L6" s="1573" t="s">
        <v>509</v>
      </c>
      <c r="M6" s="732"/>
      <c r="N6" s="732"/>
      <c r="O6" s="732"/>
      <c r="P6" s="2392">
        <v>1</v>
      </c>
      <c r="Q6" s="1708"/>
      <c r="R6" s="578"/>
      <c r="S6" s="1265"/>
      <c r="T6" s="1610"/>
      <c r="U6" s="1611"/>
      <c r="V6" s="2431"/>
      <c r="W6" s="2431"/>
      <c r="X6" s="2431"/>
      <c r="Y6" s="2431"/>
      <c r="Z6" s="2431"/>
      <c r="AA6" s="2431"/>
      <c r="AB6" s="2431"/>
      <c r="AC6" s="2432"/>
      <c r="AD6" s="2430"/>
      <c r="AE6" s="2431"/>
      <c r="AF6" s="2431"/>
      <c r="AG6" s="2431"/>
      <c r="AH6" s="2431"/>
      <c r="AI6" s="2431"/>
      <c r="AJ6" s="2431"/>
      <c r="AK6" s="2431"/>
      <c r="AL6" s="2431"/>
      <c r="AM6" s="2431"/>
      <c r="AN6" s="2431"/>
      <c r="AO6" s="2431"/>
      <c r="AP6" s="2431"/>
      <c r="AQ6" s="2431"/>
      <c r="AR6" s="2431"/>
      <c r="AS6" s="2431"/>
      <c r="AT6" s="2431"/>
      <c r="AU6" s="2431"/>
      <c r="AV6" s="2431"/>
      <c r="AW6" s="2431"/>
      <c r="AX6" s="2431"/>
      <c r="AY6" s="2431"/>
      <c r="AZ6" s="2431"/>
      <c r="BA6" s="2431"/>
      <c r="BB6" s="2432"/>
      <c r="BC6" s="1612"/>
      <c r="BE6" s="722"/>
      <c r="BF6" s="722" t="str">
        <f>IF(T6="","",T6)</f>
        <v/>
      </c>
      <c r="BG6" s="722"/>
      <c r="BH6" s="722"/>
    </row>
    <row s="16622" customFormat="1" customHeight="1" ht="14.25" hidden="1">
      <c r="A7" s="1570"/>
      <c r="B7" s="1570"/>
      <c r="C7" s="1570"/>
      <c r="D7" s="1570"/>
      <c r="E7" s="2389"/>
      <c r="F7" s="2389"/>
      <c r="G7" s="2389"/>
      <c r="H7" s="2389"/>
      <c r="I7" s="2391"/>
      <c r="J7" s="2390" t="str">
        <f>S5&amp;".1"</f>
        <v>.1</v>
      </c>
      <c r="K7" s="1570"/>
      <c r="L7" s="1573"/>
      <c r="M7" s="732"/>
      <c r="N7" s="732"/>
      <c r="O7" s="732"/>
      <c r="P7" s="2392"/>
      <c r="Q7" s="2392">
        <v>1</v>
      </c>
      <c r="R7" s="579"/>
      <c r="S7" s="1265"/>
      <c r="T7" s="1626"/>
      <c r="U7" s="1611"/>
      <c r="V7" s="2431"/>
      <c r="W7" s="2431"/>
      <c r="X7" s="2431"/>
      <c r="Y7" s="2431"/>
      <c r="Z7" s="2431"/>
      <c r="AA7" s="2431"/>
      <c r="AB7" s="2431"/>
      <c r="AC7" s="2432"/>
      <c r="AD7" s="2430"/>
      <c r="AE7" s="2431"/>
      <c r="AF7" s="2431"/>
      <c r="AG7" s="2431"/>
      <c r="AH7" s="2431"/>
      <c r="AI7" s="2431"/>
      <c r="AJ7" s="2431"/>
      <c r="AK7" s="2431"/>
      <c r="AL7" s="2431"/>
      <c r="AM7" s="2431"/>
      <c r="AN7" s="2431"/>
      <c r="AO7" s="2431"/>
      <c r="AP7" s="2431"/>
      <c r="AQ7" s="2431"/>
      <c r="AR7" s="2431"/>
      <c r="AS7" s="2431"/>
      <c r="AT7" s="2431"/>
      <c r="AU7" s="2431"/>
      <c r="AV7" s="2431"/>
      <c r="AW7" s="2431"/>
      <c r="AX7" s="2431"/>
      <c r="AY7" s="2431"/>
      <c r="AZ7" s="2431"/>
      <c r="BA7" s="2431"/>
      <c r="BB7" s="2432"/>
      <c r="BC7" s="1612"/>
      <c r="BE7" s="722"/>
      <c r="BF7" s="722" t="str">
        <f>IF(T7="","",T7)</f>
        <v/>
      </c>
      <c r="BG7" s="722"/>
      <c r="BH7" s="722"/>
    </row>
    <row customHeight="1" ht="11.25" hidden="1">
      <c r="A8" s="1590"/>
      <c r="B8" s="1590"/>
      <c r="C8" s="1590"/>
      <c r="D8" s="1590"/>
      <c r="E8" s="2389"/>
      <c r="F8" s="2389"/>
      <c r="G8" s="2389"/>
      <c r="H8" s="2389"/>
      <c r="I8" s="2391"/>
      <c r="J8" s="2391"/>
      <c r="K8" s="2390">
        <f>S4&amp;".1"</f>
      </c>
      <c r="L8" s="1591"/>
      <c r="P8" s="2392"/>
      <c r="Q8" s="2392"/>
      <c r="R8" s="2468">
        <v>1</v>
      </c>
      <c r="S8" s="2465">
        <f>$K8</f>
      </c>
      <c r="T8" s="2485"/>
      <c r="U8" s="522"/>
      <c r="V8" s="973"/>
      <c r="W8" s="1483"/>
      <c r="X8" s="973"/>
      <c r="Y8" s="1483"/>
      <c r="Z8" s="1961"/>
      <c r="AA8" s="1696" t="s">
        <v>63</v>
      </c>
      <c r="AB8" s="1961"/>
      <c r="AC8" s="1696" t="s">
        <v>63</v>
      </c>
      <c r="AD8" s="2326" t="s">
        <v>63</v>
      </c>
      <c r="AE8" s="2461"/>
      <c r="AF8" s="2339">
        <v>1</v>
      </c>
      <c r="AG8" s="2484"/>
      <c r="AH8" s="2263" t="s">
        <v>63</v>
      </c>
      <c r="AI8" s="2461"/>
      <c r="AJ8" s="2339">
        <v>1</v>
      </c>
      <c r="AK8" s="2483" t="s">
        <v>24</v>
      </c>
      <c r="AL8" s="2263" t="s">
        <v>63</v>
      </c>
      <c r="AM8" s="2311"/>
      <c r="AN8" s="2339">
        <v>1</v>
      </c>
      <c r="AO8" s="2488"/>
      <c r="AP8" s="2489" t="s">
        <v>63</v>
      </c>
      <c r="AQ8" s="533"/>
      <c r="AR8" s="1713">
        <v>1</v>
      </c>
      <c r="AS8" s="1719" t="s">
        <v>24</v>
      </c>
      <c r="AT8" s="973"/>
      <c r="AU8" s="1483"/>
      <c r="AV8" s="973"/>
      <c r="AW8" s="1483"/>
      <c r="AX8" s="1961"/>
      <c r="AY8" s="1696" t="s">
        <v>63</v>
      </c>
      <c r="AZ8" s="1961"/>
      <c r="BA8" s="1696" t="s">
        <v>63</v>
      </c>
      <c r="BB8" s="1575"/>
      <c r="BC8" s="2418" t="s">
        <v>605</v>
      </c>
      <c r="BE8" s="722"/>
      <c r="BF8" s="722" t="str">
        <f>IF(T8="","",T8)</f>
        <v/>
      </c>
      <c r="BG8" s="722"/>
      <c r="BH8" s="722"/>
    </row>
    <row customHeight="1" ht="11.25" hidden="1">
      <c r="A9" s="1590"/>
      <c r="B9" s="1590"/>
      <c r="C9" s="1590"/>
      <c r="D9" s="1590"/>
      <c r="E9" s="2389"/>
      <c r="F9" s="2389"/>
      <c r="G9" s="2389"/>
      <c r="H9" s="2389"/>
      <c r="I9" s="2391"/>
      <c r="J9" s="2391"/>
      <c r="K9" s="2390"/>
      <c r="L9" s="1591"/>
      <c r="P9" s="2392"/>
      <c r="Q9" s="2392"/>
      <c r="R9" s="2468"/>
      <c r="S9" s="2466"/>
      <c r="T9" s="2486"/>
      <c r="U9" s="522"/>
      <c r="V9" s="1620"/>
      <c r="W9" s="1723"/>
      <c r="X9" s="1620"/>
      <c r="Y9" s="1723"/>
      <c r="Z9" s="1620"/>
      <c r="AA9" s="1620"/>
      <c r="AB9" s="1620"/>
      <c r="AC9" s="1620"/>
      <c r="AD9" s="2327"/>
      <c r="AE9" s="2461"/>
      <c r="AF9" s="2339"/>
      <c r="AG9" s="2484"/>
      <c r="AH9" s="2263"/>
      <c r="AI9" s="2461"/>
      <c r="AJ9" s="2339"/>
      <c r="AK9" s="2483"/>
      <c r="AL9" s="2263"/>
      <c r="AM9" s="2319"/>
      <c r="AN9" s="2339"/>
      <c r="AO9" s="2488"/>
      <c r="AP9" s="2490"/>
      <c r="AQ9" s="538"/>
      <c r="AR9" s="638"/>
      <c r="AS9" s="638" t="s">
        <v>606</v>
      </c>
      <c r="AT9" s="1620"/>
      <c r="AU9" s="1723"/>
      <c r="AV9" s="1620"/>
      <c r="AW9" s="1723"/>
      <c r="AX9" s="1620"/>
      <c r="AY9" s="1620"/>
      <c r="AZ9" s="1620"/>
      <c r="BA9" s="1620"/>
      <c r="BB9" s="1624"/>
      <c r="BC9" s="2419"/>
      <c r="BE9" s="722"/>
      <c r="BF9" s="722"/>
      <c r="BG9" s="722"/>
      <c r="BH9" s="722"/>
    </row>
    <row customHeight="1" ht="11.25" hidden="1">
      <c r="A10" s="1590"/>
      <c r="B10" s="1590"/>
      <c r="C10" s="1590"/>
      <c r="D10" s="1590"/>
      <c r="E10" s="2389"/>
      <c r="F10" s="2389"/>
      <c r="G10" s="2389"/>
      <c r="H10" s="2389"/>
      <c r="I10" s="2391"/>
      <c r="J10" s="2391"/>
      <c r="K10" s="2390"/>
      <c r="L10" s="1591"/>
      <c r="P10" s="2392"/>
      <c r="Q10" s="2392"/>
      <c r="R10" s="2468"/>
      <c r="S10" s="2466"/>
      <c r="T10" s="2486"/>
      <c r="U10" s="522"/>
      <c r="V10" s="1620"/>
      <c r="W10" s="1723"/>
      <c r="X10" s="1620"/>
      <c r="Y10" s="1723"/>
      <c r="Z10" s="1620"/>
      <c r="AA10" s="1620"/>
      <c r="AB10" s="1620"/>
      <c r="AC10" s="1620"/>
      <c r="AD10" s="2327"/>
      <c r="AE10" s="2461"/>
      <c r="AF10" s="2339"/>
      <c r="AG10" s="2484"/>
      <c r="AH10" s="2263"/>
      <c r="AI10" s="2461"/>
      <c r="AJ10" s="2339"/>
      <c r="AK10" s="2483"/>
      <c r="AL10" s="2263"/>
      <c r="AM10" s="538"/>
      <c r="AN10" s="1727"/>
      <c r="AO10" s="1727" t="s">
        <v>626</v>
      </c>
      <c r="AP10" s="638"/>
      <c r="AQ10" s="638"/>
      <c r="AR10" s="638"/>
      <c r="AS10" s="1620"/>
      <c r="AT10" s="1620"/>
      <c r="AU10" s="1723"/>
      <c r="AV10" s="1620"/>
      <c r="AW10" s="1723"/>
      <c r="AX10" s="1620"/>
      <c r="AY10" s="1620"/>
      <c r="AZ10" s="1620"/>
      <c r="BA10" s="1620"/>
      <c r="BB10" s="1624"/>
      <c r="BC10" s="2419"/>
      <c r="BE10" s="722"/>
      <c r="BF10" s="722"/>
      <c r="BG10" s="722"/>
      <c r="BH10" s="722"/>
    </row>
    <row customHeight="1" ht="11.25" hidden="1">
      <c r="A11" s="1590"/>
      <c r="B11" s="1590"/>
      <c r="C11" s="1590"/>
      <c r="D11" s="1590"/>
      <c r="E11" s="2389"/>
      <c r="F11" s="2389"/>
      <c r="G11" s="2389"/>
      <c r="H11" s="2389"/>
      <c r="I11" s="2391"/>
      <c r="J11" s="2391"/>
      <c r="K11" s="2390"/>
      <c r="L11" s="1591"/>
      <c r="P11" s="2392"/>
      <c r="Q11" s="2392"/>
      <c r="R11" s="2468"/>
      <c r="S11" s="2466"/>
      <c r="T11" s="2486"/>
      <c r="U11" s="522"/>
      <c r="V11" s="1620"/>
      <c r="W11" s="1723"/>
      <c r="X11" s="1620"/>
      <c r="Y11" s="1723"/>
      <c r="Z11" s="1620"/>
      <c r="AA11" s="1620"/>
      <c r="AB11" s="1620"/>
      <c r="AC11" s="1620"/>
      <c r="AD11" s="2327"/>
      <c r="AE11" s="2461"/>
      <c r="AF11" s="2339"/>
      <c r="AG11" s="2484"/>
      <c r="AH11" s="2263"/>
      <c r="AI11" s="516"/>
      <c r="AJ11" s="637"/>
      <c r="AK11" s="535" t="s">
        <v>627</v>
      </c>
      <c r="AL11" s="1620"/>
      <c r="AM11" s="1620"/>
      <c r="AN11" s="1620"/>
      <c r="AO11" s="1620"/>
      <c r="AP11" s="1620"/>
      <c r="AQ11" s="1620"/>
      <c r="AR11" s="1620"/>
      <c r="AS11" s="1620"/>
      <c r="AT11" s="1620"/>
      <c r="AU11" s="1723"/>
      <c r="AV11" s="1620"/>
      <c r="AW11" s="1723"/>
      <c r="AX11" s="1620"/>
      <c r="AY11" s="1620"/>
      <c r="AZ11" s="1620"/>
      <c r="BA11" s="1620"/>
      <c r="BB11" s="1624"/>
      <c r="BC11" s="2419"/>
      <c r="BE11" s="722"/>
      <c r="BF11" s="722"/>
      <c r="BG11" s="722"/>
      <c r="BH11" s="722"/>
    </row>
    <row customHeight="1" ht="11.25" hidden="1">
      <c r="A12" s="1590"/>
      <c r="B12" s="1590"/>
      <c r="C12" s="1590"/>
      <c r="D12" s="1590"/>
      <c r="E12" s="2389"/>
      <c r="F12" s="2389"/>
      <c r="G12" s="2389"/>
      <c r="H12" s="2389"/>
      <c r="I12" s="2391"/>
      <c r="J12" s="2391"/>
      <c r="K12" s="2390"/>
      <c r="L12" s="1591"/>
      <c r="P12" s="2392"/>
      <c r="Q12" s="2392"/>
      <c r="R12" s="2468"/>
      <c r="S12" s="2467"/>
      <c r="T12" s="2487"/>
      <c r="U12" s="522"/>
      <c r="V12" s="1620"/>
      <c r="W12" s="1621" t="str">
        <f>Z8&amp;"-"&amp;AB8</f>
        <v>-</v>
      </c>
      <c r="X12" s="1620"/>
      <c r="Y12" s="1621" t="str">
        <f>AB8&amp;"-"&amp;AD8</f>
        <v>-да</v>
      </c>
      <c r="Z12" s="1620"/>
      <c r="AA12" s="1620"/>
      <c r="AB12" s="1620"/>
      <c r="AC12" s="1620"/>
      <c r="AD12" s="2268"/>
      <c r="AE12" s="534"/>
      <c r="AF12" s="536"/>
      <c r="AG12" s="638" t="s">
        <v>609</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19"/>
      <c r="BE12" s="722"/>
      <c r="BF12" s="722" t="str">
        <f>IF(T12="","",T12)</f>
        <v/>
      </c>
      <c r="BG12" s="722"/>
      <c r="BH12" s="722"/>
    </row>
    <row customHeight="1" ht="11.25" hidden="1">
      <c r="A13" s="1590"/>
      <c r="B13" s="1590"/>
      <c r="C13" s="1590"/>
      <c r="D13" s="1590"/>
      <c r="E13" s="2389"/>
      <c r="F13" s="2389"/>
      <c r="G13" s="2389"/>
      <c r="H13" s="2389"/>
      <c r="I13" s="2391"/>
      <c r="J13" s="2390"/>
      <c r="K13" s="1590"/>
      <c r="L13" s="1591"/>
      <c r="P13" s="2392"/>
      <c r="Q13" s="2392"/>
      <c r="R13" s="578"/>
      <c r="S13" s="1505"/>
      <c r="T13" s="509" t="s">
        <v>571</v>
      </c>
      <c r="U13" s="589"/>
      <c r="V13" s="589"/>
      <c r="W13" s="589"/>
      <c r="X13" s="589"/>
      <c r="Y13" s="589"/>
      <c r="Z13" s="589"/>
      <c r="AA13" s="589"/>
      <c r="AB13" s="589"/>
      <c r="AC13" s="589"/>
      <c r="AD13" s="1732"/>
      <c r="AE13" s="589"/>
      <c r="AF13" s="589"/>
      <c r="AG13" s="589"/>
      <c r="AH13" s="589"/>
      <c r="AI13" s="589"/>
      <c r="AJ13" s="589"/>
      <c r="AK13" s="589"/>
      <c r="AL13" s="589"/>
      <c r="AM13" s="589"/>
      <c r="AN13" s="589"/>
      <c r="AO13" s="589"/>
      <c r="AP13" s="589"/>
      <c r="AQ13" s="589"/>
      <c r="AR13" s="589"/>
      <c r="AS13" s="589"/>
      <c r="AT13" s="589"/>
      <c r="AU13" s="589"/>
      <c r="AV13" s="589"/>
      <c r="AW13" s="589"/>
      <c r="AX13" s="589"/>
      <c r="AY13" s="589"/>
      <c r="AZ13" s="589"/>
      <c r="BA13" s="589"/>
      <c r="BB13" s="546"/>
      <c r="BC13" s="2420"/>
      <c r="BE13" s="722"/>
      <c r="BF13" s="722" t="str">
        <f>IF(T13="","",T13)</f>
        <v>Добавить строку</v>
      </c>
      <c r="BG13" s="722"/>
      <c r="BH13" s="722"/>
    </row>
    <row s="16622" customFormat="1" customHeight="1" ht="14.25" hidden="1">
      <c r="A14" s="1570"/>
      <c r="B14" s="1570"/>
      <c r="C14" s="1570"/>
      <c r="D14" s="1570"/>
      <c r="E14" s="2389"/>
      <c r="F14" s="2389"/>
      <c r="G14" s="2389"/>
      <c r="H14" s="2389"/>
      <c r="I14" s="2390"/>
      <c r="J14" s="1570"/>
      <c r="K14" s="1570"/>
      <c r="L14" s="1573"/>
      <c r="M14" s="732"/>
      <c r="N14" s="732"/>
      <c r="O14" s="732"/>
      <c r="P14" s="2392"/>
      <c r="Q14" s="1708"/>
      <c r="R14" s="578"/>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2"/>
      <c r="BF14" s="722" t="str">
        <f>IF(T14="","",T14)</f>
        <v/>
      </c>
      <c r="BG14" s="722"/>
      <c r="BH14" s="722"/>
    </row>
    <row s="16622" customFormat="1" customHeight="1" ht="14.25" hidden="1">
      <c r="A15" s="1570"/>
      <c r="B15" s="1570"/>
      <c r="C15" s="1570"/>
      <c r="D15" s="1570"/>
      <c r="E15" s="2389"/>
      <c r="F15" s="2389"/>
      <c r="G15" s="2389"/>
      <c r="H15" s="2388"/>
      <c r="I15" s="1570"/>
      <c r="J15" s="1570"/>
      <c r="K15" s="1570"/>
      <c r="L15" s="1573"/>
      <c r="M15" s="1542"/>
      <c r="N15" s="1542"/>
      <c r="O15" s="740"/>
      <c r="P15" s="602"/>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2"/>
      <c r="BF15" s="722" t="str">
        <f>IF(T15="","",T15)</f>
        <v/>
      </c>
      <c r="BG15" s="722"/>
      <c r="BH15" s="722"/>
    </row>
    <row s="16531" customFormat="1" customHeight="1" ht="14.25" hidden="1">
      <c r="A16" s="1570"/>
      <c r="B16" s="1570"/>
      <c r="C16" s="1570"/>
      <c r="D16" s="1541"/>
      <c r="E16" s="2389"/>
      <c r="F16" s="2389"/>
      <c r="G16" s="2388"/>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1"/>
      <c r="BF16" s="1011" t="str">
        <f>IF(T16="","",T16)</f>
        <v/>
      </c>
      <c r="BG16" s="1011"/>
      <c r="BH16" s="1011"/>
    </row>
    <row s="16531" customFormat="1" customHeight="1" ht="14.25" hidden="1">
      <c r="A17" s="1570"/>
      <c r="B17" s="1570"/>
      <c r="C17" s="1541"/>
      <c r="D17" s="1541"/>
      <c r="E17" s="2389"/>
      <c r="F17" s="2388"/>
      <c r="G17" s="1541"/>
      <c r="H17" s="1541"/>
      <c r="I17" s="1541"/>
      <c r="J17" s="1541"/>
      <c r="K17" s="1541"/>
      <c r="L17" s="1721"/>
      <c r="M17" s="1548"/>
      <c r="N17" s="1548"/>
      <c r="P17" s="1543"/>
      <c r="Q17" s="1544"/>
      <c r="R17" s="1543"/>
      <c r="S17" s="1549"/>
      <c r="T17" s="1552" t="s">
        <v>305</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1"/>
      <c r="BF17" s="1011" t="str">
        <f>IF(T17="","",T17)</f>
        <v>Добавить централизованную систему для дифференциации</v>
      </c>
      <c r="BG17" s="1011"/>
      <c r="BH17" s="1011"/>
    </row>
    <row s="16622" customFormat="1" customHeight="1" ht="14.25" hidden="1">
      <c r="A18" s="1570"/>
      <c r="B18" s="1570"/>
      <c r="C18" s="1570"/>
      <c r="D18" s="1570"/>
      <c r="E18" s="2388"/>
      <c r="F18" s="1570"/>
      <c r="G18" s="1570"/>
      <c r="H18" s="1570"/>
      <c r="I18" s="1570"/>
      <c r="J18" s="1570"/>
      <c r="K18" s="1570"/>
      <c r="L18" s="1573"/>
      <c r="M18" s="1548"/>
      <c r="N18" s="1548"/>
      <c r="O18" s="740"/>
      <c r="P18" s="602"/>
      <c r="Q18" s="1571"/>
      <c r="R18" s="602"/>
      <c r="S18" s="1549"/>
      <c r="T18" s="1552" t="s">
        <v>358</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2"/>
      <c r="BF18" s="722" t="str">
        <f>IF(T18="","",T18)</f>
        <v>Добавить территорию для дифференциации</v>
      </c>
      <c r="BG18" s="722"/>
      <c r="BH18" s="722"/>
    </row>
    <row customHeight="1" ht="14.25" hidden="1">
      <c r="AC19" s="549"/>
      <c r="BA19" s="549"/>
    </row>
    <row customHeight="1" ht="14.25" hidden="1">
      <c r="AD20" s="1551" t="s">
        <v>53</v>
      </c>
      <c r="AE20" s="1728"/>
      <c r="AF20" s="770">
        <v>1</v>
      </c>
      <c r="AG20" s="1729"/>
      <c r="AH20" s="1551" t="s">
        <v>53</v>
      </c>
      <c r="AI20" s="1728"/>
      <c r="AJ20" s="770">
        <v>1</v>
      </c>
      <c r="AK20" s="1729"/>
      <c r="AL20" s="1551" t="s">
        <v>53</v>
      </c>
      <c r="AM20" s="1730"/>
      <c r="AN20" s="770">
        <v>1</v>
      </c>
      <c r="AO20" s="1731"/>
      <c r="AP20" s="1551" t="s">
        <v>53</v>
      </c>
      <c r="AQ20" s="1730"/>
      <c r="AR20" s="770">
        <v>1</v>
      </c>
      <c r="AS20" s="1731"/>
      <c r="AT20" s="547"/>
      <c r="AU20" s="606"/>
      <c r="AV20" s="547"/>
      <c r="AW20" s="606"/>
      <c r="AX20" s="1963"/>
      <c r="AY20" s="1712" t="s">
        <v>63</v>
      </c>
      <c r="AZ20" s="1963"/>
      <c r="BA20" s="1712" t="s">
        <v>63</v>
      </c>
    </row>
    <row customHeight="1" ht="14.25" hidden="1">
      <c r="BD21" s="718"/>
      <c r="BE21" s="718"/>
      <c r="BF21" s="718"/>
      <c r="BG21" s="718"/>
      <c r="BH21" s="718"/>
    </row>
    <row customHeight="1" ht="14.25" hidden="1">
      <c r="O22" s="1594" t="s">
        <v>521</v>
      </c>
      <c r="Z22" s="1572"/>
      <c r="AB22" s="1572"/>
      <c r="AC22" s="549"/>
      <c r="AX22" s="1572"/>
      <c r="AZ22" s="1572"/>
      <c r="BA22" s="549"/>
      <c r="BD22" s="718"/>
      <c r="BE22" s="718"/>
      <c r="BF22" s="718"/>
      <c r="BG22" s="718"/>
      <c r="BH22" s="718"/>
    </row>
    <row customHeight="1" ht="14.25" hidden="1">
      <c r="AC23" s="549"/>
      <c r="BA23" s="549"/>
      <c r="BD23" s="718"/>
      <c r="BE23" s="718"/>
      <c r="BF23" s="718"/>
      <c r="BG23" s="718"/>
      <c r="BH23" s="718"/>
    </row>
    <row s="16777" customFormat="1" customHeight="1" ht="14.25" hidden="1">
      <c r="M24" s="1735"/>
      <c r="N24" s="1735"/>
      <c r="O24" s="1736" t="s">
        <v>522</v>
      </c>
      <c r="P24" s="1735"/>
      <c r="Q24" s="1737"/>
      <c r="R24" s="1737"/>
      <c r="AA24" s="1734" t="s">
        <v>524</v>
      </c>
      <c r="AC24" s="1734" t="s">
        <v>525</v>
      </c>
      <c r="AD24" s="1734" t="s">
        <v>572</v>
      </c>
      <c r="AH24" s="1734" t="s">
        <v>572</v>
      </c>
      <c r="AK24" s="1734" t="s">
        <v>610</v>
      </c>
      <c r="AL24" s="1734" t="s">
        <v>572</v>
      </c>
      <c r="AP24" s="1734" t="s">
        <v>572</v>
      </c>
      <c r="AY24" s="1734" t="s">
        <v>524</v>
      </c>
      <c r="BA24" s="1734" t="s">
        <v>525</v>
      </c>
      <c r="BD24" s="1738"/>
      <c r="BE24" s="1738"/>
      <c r="BF24" s="1738"/>
      <c r="BG24" s="1738"/>
      <c r="BH24" s="1738"/>
    </row>
    <row customHeight="1" ht="14.25" hidden="1">
      <c r="O25" s="1591"/>
      <c r="BD25" s="718"/>
      <c r="BE25" s="718"/>
      <c r="BF25" s="718"/>
      <c r="BG25" s="718"/>
      <c r="BH25" s="718"/>
    </row>
    <row customHeight="1" ht="14.25" hidden="1">
      <c r="O26" s="1591"/>
      <c r="BD26" s="718"/>
      <c r="BE26" s="718"/>
      <c r="BF26" s="718"/>
      <c r="BG26" s="718"/>
      <c r="BH26" s="718"/>
    </row>
    <row customHeight="1" ht="14.25">
      <c r="Q27" s="513"/>
      <c r="R27" s="598"/>
      <c r="S27" s="1502"/>
      <c r="T27" s="585"/>
      <c r="U27" s="585"/>
      <c r="V27" s="731"/>
      <c r="W27" s="731"/>
      <c r="X27" s="731"/>
      <c r="Y27" s="731"/>
      <c r="Z27" s="731"/>
      <c r="AA27" s="731"/>
      <c r="AB27" s="731"/>
      <c r="AC27" s="731"/>
      <c r="AD27" s="731"/>
      <c r="AE27" s="731"/>
      <c r="AF27" s="731"/>
      <c r="AG27" s="731"/>
      <c r="AH27" s="731"/>
      <c r="AI27" s="731"/>
      <c r="AJ27" s="731"/>
      <c r="AK27" s="731"/>
      <c r="AL27" s="731"/>
      <c r="AM27" s="731"/>
      <c r="AN27" s="731"/>
      <c r="AO27" s="731"/>
      <c r="AP27" s="731"/>
      <c r="AQ27" s="731"/>
      <c r="AR27" s="731"/>
      <c r="AS27" s="731"/>
      <c r="AT27" s="731"/>
      <c r="AU27" s="731"/>
      <c r="AV27" s="731"/>
      <c r="AW27" s="731"/>
      <c r="AX27" s="731"/>
      <c r="AY27" s="731"/>
      <c r="AZ27" s="731"/>
      <c r="BA27" s="731"/>
    </row>
    <row customHeight="1" ht="14.25">
      <c r="Q28" s="513"/>
      <c r="R28" s="598"/>
      <c r="S28" s="242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21"/>
      <c r="U28" s="2421"/>
      <c r="V28" s="2421"/>
      <c r="W28" s="2421"/>
      <c r="X28" s="2421"/>
      <c r="Y28" s="2421"/>
      <c r="Z28" s="2421"/>
      <c r="AA28" s="2421"/>
      <c r="AB28" s="2421"/>
      <c r="AC28" s="2421"/>
      <c r="AD28" s="2421"/>
      <c r="AE28" s="2421"/>
      <c r="AF28" s="2421"/>
      <c r="AG28" s="2421"/>
      <c r="AH28" s="2421"/>
      <c r="AI28" s="2421"/>
      <c r="AJ28" s="2421"/>
      <c r="AK28" s="2421"/>
      <c r="AL28" s="2421"/>
      <c r="AM28" s="2421"/>
      <c r="AN28" s="2421"/>
      <c r="AO28" s="2421"/>
      <c r="AP28" s="2421"/>
      <c r="AQ28" s="2421"/>
      <c r="AR28" s="2421"/>
      <c r="AS28" s="2421"/>
      <c r="AT28" s="2421"/>
      <c r="AU28" s="2421"/>
      <c r="AV28" s="2421"/>
      <c r="AW28" s="2421"/>
      <c r="AX28" s="2421"/>
      <c r="AY28" s="2421"/>
      <c r="AZ28" s="2421"/>
      <c r="BA28" s="1469"/>
    </row>
    <row customHeight="1" ht="14.25">
      <c r="Q29" s="513"/>
      <c r="R29" s="598"/>
      <c r="S29" s="2422" t="str">
        <f>IF(org=0,"Не определено",org)</f>
        <v>КГУП "Примтеплоэнерго"</v>
      </c>
      <c r="T29" s="2422"/>
      <c r="U29" s="2422"/>
      <c r="V29" s="2422"/>
      <c r="W29" s="2422"/>
      <c r="X29" s="2422"/>
      <c r="Y29" s="2422"/>
      <c r="Z29" s="2422"/>
      <c r="AA29" s="2422"/>
      <c r="AB29" s="2422"/>
      <c r="AC29" s="2422"/>
      <c r="AD29" s="2422"/>
      <c r="AE29" s="2422"/>
      <c r="AF29" s="2422"/>
      <c r="AG29" s="2422"/>
      <c r="AH29" s="2422"/>
      <c r="AI29" s="2422"/>
      <c r="AJ29" s="2422"/>
      <c r="AK29" s="2422"/>
      <c r="AL29" s="2422"/>
      <c r="AM29" s="2422"/>
      <c r="AN29" s="2422"/>
      <c r="AO29" s="2422"/>
      <c r="AP29" s="2422"/>
      <c r="AQ29" s="2422"/>
      <c r="AR29" s="2422"/>
      <c r="AS29" s="2422"/>
      <c r="AT29" s="2422"/>
      <c r="AU29" s="2422"/>
      <c r="AV29" s="2422"/>
      <c r="AW29" s="2422"/>
      <c r="AX29" s="2422"/>
      <c r="AY29" s="2422"/>
      <c r="AZ29" s="2422"/>
      <c r="BA29" s="1469"/>
    </row>
    <row customHeight="1" ht="14.25" hidden="1">
      <c r="Q30" s="513"/>
      <c r="R30" s="598"/>
      <c r="S30" s="1502"/>
      <c r="T30" s="585"/>
      <c r="U30" s="585"/>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731"/>
    </row>
    <row s="16563" customFormat="1" customHeight="1" ht="25.5" hidden="1">
      <c r="A31" s="1595"/>
      <c r="B31" s="1595"/>
      <c r="C31" s="1595"/>
      <c r="D31" s="1595"/>
      <c r="E31" s="1595"/>
      <c r="F31" s="1595"/>
      <c r="G31" s="1595"/>
      <c r="H31" s="1595"/>
      <c r="I31" s="1595"/>
      <c r="J31" s="1595"/>
      <c r="K31" s="1595"/>
      <c r="L31" s="1596"/>
      <c r="M31" s="1595"/>
      <c r="N31" s="1595"/>
      <c r="O31" s="1595"/>
      <c r="P31" s="1595"/>
      <c r="Q31" s="1595"/>
      <c r="S31" s="2379" t="s">
        <v>38</v>
      </c>
      <c r="T31" s="2379"/>
      <c r="U31" s="1599"/>
      <c r="V31" s="2381" t="str">
        <f>IF(TITLE_NAME_OR_PR_CHANGE="",IF(TITLE_NAME_OR_PR="","",TITLE_NAME_OR_PR),TITLE_NAME_OR_PR_CHANGE)</f>
        <v/>
      </c>
      <c r="W31" s="2381"/>
      <c r="X31" s="2381"/>
      <c r="Y31" s="2381"/>
      <c r="Z31" s="2381"/>
      <c r="AA31" s="2381"/>
      <c r="AB31" s="2381"/>
      <c r="AC31" s="548"/>
      <c r="AD31" s="2381" t="str">
        <f>IF(TITLE_NAME_OR_PR_CHANGE="",IF(TITLE_NAME_OR_PR="","",TITLE_NAME_OR_PR),TITLE_NAME_OR_PR_CHANGE)</f>
        <v/>
      </c>
      <c r="AE31" s="2381"/>
      <c r="AF31" s="2381"/>
      <c r="AG31" s="2381"/>
      <c r="AH31" s="2381"/>
      <c r="AI31" s="2381"/>
      <c r="AJ31" s="2381"/>
      <c r="AK31" s="2381"/>
      <c r="AL31" s="2381"/>
      <c r="AM31" s="2381"/>
      <c r="AN31" s="2381"/>
      <c r="AO31" s="2381"/>
      <c r="AP31" s="2381"/>
      <c r="AQ31" s="2381"/>
      <c r="AR31" s="2381"/>
      <c r="AS31" s="2381"/>
      <c r="AT31" s="2381"/>
      <c r="AU31" s="2381"/>
      <c r="AV31" s="2381"/>
      <c r="AW31" s="2381"/>
      <c r="AX31" s="2381"/>
      <c r="AY31" s="2381"/>
      <c r="AZ31" s="2381"/>
      <c r="BA31" s="548"/>
      <c r="BB31" s="548"/>
      <c r="BC31" s="502"/>
      <c r="BD31" s="590"/>
      <c r="BE31" s="590"/>
      <c r="BF31" s="590"/>
      <c r="BG31" s="590"/>
      <c r="BH31" s="590"/>
    </row>
    <row s="16563" customFormat="1" customHeight="1" ht="18.75" hidden="1">
      <c r="A32" s="1595"/>
      <c r="B32" s="1595"/>
      <c r="C32" s="1595"/>
      <c r="D32" s="1595"/>
      <c r="E32" s="1595"/>
      <c r="F32" s="1595"/>
      <c r="G32" s="1595"/>
      <c r="H32" s="1595"/>
      <c r="I32" s="1595"/>
      <c r="J32" s="1595"/>
      <c r="K32" s="1595"/>
      <c r="L32" s="1596"/>
      <c r="M32" s="1595"/>
      <c r="N32" s="1595"/>
      <c r="O32" s="1595"/>
      <c r="P32" s="1595"/>
      <c r="Q32" s="1595"/>
      <c r="S32" s="2379" t="s">
        <v>527</v>
      </c>
      <c r="T32" s="2379"/>
      <c r="U32" s="1599"/>
      <c r="V32" s="2380" t="str">
        <f>IF(TITLE_DATE_PR_CHANGE="",IF(TITLE_DATE_PR="","",TITLE_DATE_PR),TITLE_DATE_PR_CHANGE)</f>
        <v>45407.47206018519</v>
      </c>
      <c r="W32" s="2380"/>
      <c r="X32" s="2380"/>
      <c r="Y32" s="2380"/>
      <c r="Z32" s="2380"/>
      <c r="AA32" s="2380"/>
      <c r="AB32" s="2380"/>
      <c r="AC32" s="548"/>
      <c r="AD32" s="2380" t="str">
        <f>IF(TITLE_DATE_PR_CHANGE="",IF(TITLE_DATE_PR="","",TITLE_DATE_PR),TITLE_DATE_PR_CHANGE)</f>
        <v>45407.47206018519</v>
      </c>
      <c r="AE32" s="2380"/>
      <c r="AF32" s="2380"/>
      <c r="AG32" s="2380"/>
      <c r="AH32" s="2380"/>
      <c r="AI32" s="2380"/>
      <c r="AJ32" s="2380"/>
      <c r="AK32" s="2380"/>
      <c r="AL32" s="2380"/>
      <c r="AM32" s="2380"/>
      <c r="AN32" s="2380"/>
      <c r="AO32" s="2380"/>
      <c r="AP32" s="2380"/>
      <c r="AQ32" s="2380"/>
      <c r="AR32" s="2380"/>
      <c r="AS32" s="2380"/>
      <c r="AT32" s="2380"/>
      <c r="AU32" s="2380"/>
      <c r="AV32" s="2380"/>
      <c r="AW32" s="2380"/>
      <c r="AX32" s="2380"/>
      <c r="AY32" s="2380"/>
      <c r="AZ32" s="2380"/>
      <c r="BA32" s="548"/>
      <c r="BB32" s="548"/>
      <c r="BC32" s="502"/>
      <c r="BD32" s="590"/>
      <c r="BE32" s="590"/>
      <c r="BF32" s="590"/>
      <c r="BG32" s="590"/>
      <c r="BH32" s="590"/>
    </row>
    <row s="16563" customFormat="1" customHeight="1" ht="18.75" hidden="1">
      <c r="A33" s="1595"/>
      <c r="B33" s="1595"/>
      <c r="C33" s="1595"/>
      <c r="D33" s="1595"/>
      <c r="E33" s="1595"/>
      <c r="F33" s="1595"/>
      <c r="G33" s="1595"/>
      <c r="H33" s="1595"/>
      <c r="I33" s="1595"/>
      <c r="J33" s="1595"/>
      <c r="K33" s="1595"/>
      <c r="L33" s="1596"/>
      <c r="M33" s="1595"/>
      <c r="N33" s="1595"/>
      <c r="O33" s="1595"/>
      <c r="P33" s="1595"/>
      <c r="Q33" s="1595"/>
      <c r="S33" s="2379" t="s">
        <v>528</v>
      </c>
      <c r="T33" s="2379"/>
      <c r="U33" s="1599"/>
      <c r="V33" s="2381" t="str">
        <f>IF(TITLE_NUMBER_PR_CHANGE="",IF(TITLE_NUMBER_PR="","",TITLE_NUMBER_PR),TITLE_NUMBER_PR_CHANGE)</f>
        <v>27-2067</v>
      </c>
      <c r="W33" s="2381"/>
      <c r="X33" s="2381"/>
      <c r="Y33" s="2381"/>
      <c r="Z33" s="2381"/>
      <c r="AA33" s="2381"/>
      <c r="AB33" s="2381"/>
      <c r="AC33" s="548"/>
      <c r="AD33" s="2381" t="str">
        <f>IF(TITLE_NUMBER_PR_CHANGE="",IF(TITLE_NUMBER_PR="","",TITLE_NUMBER_PR),TITLE_NUMBER_PR_CHANGE)</f>
        <v>27-2067</v>
      </c>
      <c r="AE33" s="2381"/>
      <c r="AF33" s="2381"/>
      <c r="AG33" s="2381"/>
      <c r="AH33" s="2381"/>
      <c r="AI33" s="2381"/>
      <c r="AJ33" s="2381"/>
      <c r="AK33" s="2381"/>
      <c r="AL33" s="2381"/>
      <c r="AM33" s="2381"/>
      <c r="AN33" s="2381"/>
      <c r="AO33" s="2381"/>
      <c r="AP33" s="2381"/>
      <c r="AQ33" s="2381"/>
      <c r="AR33" s="2381"/>
      <c r="AS33" s="2381"/>
      <c r="AT33" s="2381"/>
      <c r="AU33" s="2381"/>
      <c r="AV33" s="2381"/>
      <c r="AW33" s="2381"/>
      <c r="AX33" s="2381"/>
      <c r="AY33" s="2381"/>
      <c r="AZ33" s="2381"/>
      <c r="BA33" s="548"/>
      <c r="BB33" s="548"/>
      <c r="BC33" s="502"/>
      <c r="BD33" s="590"/>
      <c r="BE33" s="590"/>
      <c r="BF33" s="590"/>
      <c r="BG33" s="590"/>
      <c r="BH33" s="590"/>
    </row>
    <row s="16563" customFormat="1" customHeight="1" ht="18.75" hidden="1">
      <c r="A34" s="1595"/>
      <c r="B34" s="1595"/>
      <c r="C34" s="1595"/>
      <c r="D34" s="1595"/>
      <c r="E34" s="1595"/>
      <c r="F34" s="1595"/>
      <c r="G34" s="1595"/>
      <c r="H34" s="1595"/>
      <c r="I34" s="1595"/>
      <c r="J34" s="1595"/>
      <c r="K34" s="1595"/>
      <c r="L34" s="1596"/>
      <c r="M34" s="1595"/>
      <c r="N34" s="1595"/>
      <c r="O34" s="1595"/>
      <c r="P34" s="1595"/>
      <c r="Q34" s="1595"/>
      <c r="S34" s="2379" t="s">
        <v>39</v>
      </c>
      <c r="T34" s="2379"/>
      <c r="U34" s="1599"/>
      <c r="V34" s="2381" t="str">
        <f>IF(TITLE_IST_PUB_CHANGE="",IF(TITLE_IST_PUB="","",TITLE_IST_PUB),TITLE_IST_PUB_CHANGE)</f>
        <v/>
      </c>
      <c r="W34" s="2381"/>
      <c r="X34" s="2381"/>
      <c r="Y34" s="2381"/>
      <c r="Z34" s="2381"/>
      <c r="AA34" s="2381"/>
      <c r="AB34" s="2381"/>
      <c r="AC34" s="548"/>
      <c r="AD34" s="2381" t="str">
        <f>IF(TITLE_IST_PUB_CHANGE="",IF(TITLE_IST_PUB="","",TITLE_IST_PUB),TITLE_IST_PUB_CHANGE)</f>
        <v/>
      </c>
      <c r="AE34" s="2381"/>
      <c r="AF34" s="2381"/>
      <c r="AG34" s="2381"/>
      <c r="AH34" s="2381"/>
      <c r="AI34" s="2381"/>
      <c r="AJ34" s="2381"/>
      <c r="AK34" s="2381"/>
      <c r="AL34" s="2381"/>
      <c r="AM34" s="2381"/>
      <c r="AN34" s="2381"/>
      <c r="AO34" s="2381"/>
      <c r="AP34" s="2381"/>
      <c r="AQ34" s="2381"/>
      <c r="AR34" s="2381"/>
      <c r="AS34" s="2381"/>
      <c r="AT34" s="2381"/>
      <c r="AU34" s="2381"/>
      <c r="AV34" s="2381"/>
      <c r="AW34" s="2381"/>
      <c r="AX34" s="2381"/>
      <c r="AY34" s="2381"/>
      <c r="AZ34" s="2381"/>
      <c r="BA34" s="548"/>
      <c r="BB34" s="548"/>
      <c r="BC34" s="502"/>
      <c r="BD34" s="590"/>
      <c r="BE34" s="590"/>
      <c r="BF34" s="590"/>
      <c r="BG34" s="590"/>
      <c r="BH34" s="590"/>
    </row>
    <row customHeight="1" ht="14.25">
      <c r="Q35" s="513"/>
      <c r="R35" s="598"/>
      <c r="S35" s="1502"/>
      <c r="T35" s="585"/>
      <c r="U35" s="585"/>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731"/>
    </row>
    <row s="16563" customFormat="1" customHeight="1" ht="18.75">
      <c r="A36" s="1595"/>
      <c r="B36" s="1595"/>
      <c r="C36" s="1595"/>
      <c r="D36" s="1595"/>
      <c r="E36" s="1595"/>
      <c r="F36" s="1595"/>
      <c r="G36" s="1595"/>
      <c r="H36" s="1595"/>
      <c r="I36" s="1595"/>
      <c r="J36" s="1595"/>
      <c r="K36" s="1595"/>
      <c r="L36" s="1596"/>
      <c r="M36" s="1595"/>
      <c r="N36" s="1595"/>
      <c r="O36" s="1595"/>
      <c r="P36" s="1595"/>
      <c r="Q36" s="1595"/>
      <c r="S36" s="2379" t="s">
        <v>527</v>
      </c>
      <c r="T36" s="2379"/>
      <c r="U36" s="1599"/>
      <c r="V36" s="2380" t="str">
        <f>IF(TITLE_DATE_PR_CHANGE="",IF(TITLE_DATE_PR="","",TITLE_DATE_PR),TITLE_DATE_PR_CHANGE)</f>
        <v>45407.47206018519</v>
      </c>
      <c r="W36" s="2380"/>
      <c r="X36" s="2380"/>
      <c r="Y36" s="2380"/>
      <c r="Z36" s="2380"/>
      <c r="AA36" s="2380"/>
      <c r="AB36" s="2380"/>
      <c r="AC36" s="548"/>
      <c r="AD36" s="2380" t="str">
        <f>IF(TITLE_DATE_PR_CHANGE="",IF(TITLE_DATE_PR="","",TITLE_DATE_PR),TITLE_DATE_PR_CHANGE)</f>
        <v>45407.47206018519</v>
      </c>
      <c r="AE36" s="2380"/>
      <c r="AF36" s="2380"/>
      <c r="AG36" s="2380"/>
      <c r="AH36" s="2380"/>
      <c r="AI36" s="2380"/>
      <c r="AJ36" s="2380"/>
      <c r="AK36" s="2380"/>
      <c r="AL36" s="2380"/>
      <c r="AM36" s="2380"/>
      <c r="AN36" s="2380"/>
      <c r="AO36" s="2380"/>
      <c r="AP36" s="2380"/>
      <c r="AQ36" s="2380"/>
      <c r="AR36" s="2380"/>
      <c r="AS36" s="2380"/>
      <c r="AT36" s="2380"/>
      <c r="AU36" s="2380"/>
      <c r="AV36" s="2380"/>
      <c r="AW36" s="2380"/>
      <c r="AX36" s="2380"/>
      <c r="AY36" s="2380"/>
      <c r="AZ36" s="2380"/>
      <c r="BA36" s="548"/>
      <c r="BB36" s="548"/>
      <c r="BC36" s="502"/>
      <c r="BD36" s="590"/>
      <c r="BE36" s="590"/>
      <c r="BF36" s="590"/>
      <c r="BG36" s="590"/>
      <c r="BH36" s="590"/>
    </row>
    <row s="16563" customFormat="1" customHeight="1" ht="18.75">
      <c r="A37" s="1595"/>
      <c r="B37" s="1595"/>
      <c r="C37" s="1595"/>
      <c r="D37" s="1595"/>
      <c r="E37" s="1595"/>
      <c r="F37" s="1595"/>
      <c r="G37" s="1595"/>
      <c r="H37" s="1595"/>
      <c r="I37" s="1595"/>
      <c r="J37" s="1595"/>
      <c r="K37" s="1595"/>
      <c r="L37" s="1596"/>
      <c r="M37" s="1595"/>
      <c r="N37" s="1595"/>
      <c r="O37" s="1595"/>
      <c r="P37" s="1595"/>
      <c r="Q37" s="1595"/>
      <c r="S37" s="2379" t="s">
        <v>528</v>
      </c>
      <c r="T37" s="2379"/>
      <c r="U37" s="1599"/>
      <c r="V37" s="2381" t="str">
        <f>IF(TITLE_NUMBER_PR_CHANGE="",IF(TITLE_NUMBER_PR="","",TITLE_NUMBER_PR),TITLE_NUMBER_PR_CHANGE)</f>
        <v>27-2067</v>
      </c>
      <c r="W37" s="2381"/>
      <c r="X37" s="2381"/>
      <c r="Y37" s="2381"/>
      <c r="Z37" s="2381"/>
      <c r="AA37" s="2381"/>
      <c r="AB37" s="2381"/>
      <c r="AC37" s="548"/>
      <c r="AD37" s="2381" t="str">
        <f>IF(TITLE_NUMBER_PR_CHANGE="",IF(TITLE_NUMBER_PR="","",TITLE_NUMBER_PR),TITLE_NUMBER_PR_CHANGE)</f>
        <v>27-2067</v>
      </c>
      <c r="AE37" s="2381"/>
      <c r="AF37" s="2381"/>
      <c r="AG37" s="2381"/>
      <c r="AH37" s="2381"/>
      <c r="AI37" s="2381"/>
      <c r="AJ37" s="2381"/>
      <c r="AK37" s="2381"/>
      <c r="AL37" s="2381"/>
      <c r="AM37" s="2381"/>
      <c r="AN37" s="2381"/>
      <c r="AO37" s="2381"/>
      <c r="AP37" s="2381"/>
      <c r="AQ37" s="2381"/>
      <c r="AR37" s="2381"/>
      <c r="AS37" s="2381"/>
      <c r="AT37" s="2381"/>
      <c r="AU37" s="2381"/>
      <c r="AV37" s="2381"/>
      <c r="AW37" s="2381"/>
      <c r="AX37" s="2381"/>
      <c r="AY37" s="2381"/>
      <c r="AZ37" s="2381"/>
      <c r="BA37" s="548"/>
      <c r="BB37" s="548"/>
      <c r="BC37" s="502"/>
      <c r="BD37" s="590"/>
      <c r="BE37" s="590"/>
      <c r="BF37" s="590"/>
      <c r="BG37" s="590"/>
      <c r="BH37" s="590"/>
    </row>
    <row s="16563" customFormat="1" customHeight="1" ht="0">
      <c r="A38" s="1595"/>
      <c r="B38" s="1595"/>
      <c r="C38" s="1595"/>
      <c r="D38" s="1595"/>
      <c r="E38" s="1595"/>
      <c r="F38" s="1595"/>
      <c r="G38" s="1595"/>
      <c r="H38" s="1595"/>
      <c r="I38" s="1595"/>
      <c r="J38" s="1595"/>
      <c r="K38" s="1595"/>
      <c r="L38" s="1596"/>
      <c r="M38" s="1595"/>
      <c r="N38" s="1595"/>
      <c r="O38" s="1595"/>
      <c r="P38" s="1595"/>
      <c r="Q38" s="1595"/>
      <c r="S38" s="545"/>
      <c r="T38" s="545"/>
      <c r="U38" s="1715"/>
      <c r="V38" s="548"/>
      <c r="W38" s="548"/>
      <c r="X38" s="548"/>
      <c r="Y38" s="548"/>
      <c r="Z38" s="548"/>
      <c r="AA38" s="548"/>
      <c r="AB38" s="548"/>
      <c r="AC38" s="500" t="s">
        <v>531</v>
      </c>
      <c r="AD38" s="548"/>
      <c r="AE38" s="548"/>
      <c r="AF38" s="548"/>
      <c r="AG38" s="548"/>
      <c r="AH38" s="548"/>
      <c r="AI38" s="548"/>
      <c r="AJ38" s="548"/>
      <c r="AK38" s="548"/>
      <c r="AL38" s="548"/>
      <c r="AM38" s="548"/>
      <c r="AN38" s="548"/>
      <c r="AO38" s="548"/>
      <c r="AP38" s="548"/>
      <c r="AQ38" s="548"/>
      <c r="AR38" s="548"/>
      <c r="AS38" s="548"/>
      <c r="AT38" s="548"/>
      <c r="AU38" s="548"/>
      <c r="AV38" s="548"/>
      <c r="AW38" s="548"/>
      <c r="AX38" s="548"/>
      <c r="AY38" s="548"/>
      <c r="AZ38" s="548"/>
      <c r="BA38" s="500" t="s">
        <v>531</v>
      </c>
      <c r="BD38" s="590"/>
      <c r="BE38" s="590"/>
      <c r="BF38" s="590"/>
      <c r="BG38" s="590"/>
      <c r="BH38" s="590"/>
    </row>
    <row customHeight="1" ht="14.25">
      <c r="Q39" s="513"/>
      <c r="R39" s="598"/>
      <c r="S39" s="1502"/>
      <c r="T39" s="585"/>
      <c r="U39" s="1470"/>
      <c r="V39" s="2405"/>
      <c r="W39" s="2405"/>
      <c r="X39" s="2405"/>
      <c r="Y39" s="2405"/>
      <c r="Z39" s="2405"/>
      <c r="AA39" s="2405"/>
      <c r="AB39" s="2405"/>
      <c r="AC39" s="2405"/>
      <c r="AD39" s="2405"/>
      <c r="AE39" s="2405"/>
      <c r="AF39" s="2405"/>
      <c r="AG39" s="2405"/>
      <c r="AH39" s="2405"/>
      <c r="AI39" s="2405"/>
      <c r="AJ39" s="2405"/>
      <c r="AK39" s="2405"/>
      <c r="AL39" s="2405"/>
      <c r="AM39" s="2405"/>
      <c r="AN39" s="2405"/>
      <c r="AO39" s="2405"/>
      <c r="AP39" s="2405"/>
      <c r="AQ39" s="2405"/>
      <c r="AR39" s="2405"/>
      <c r="AS39" s="2405"/>
      <c r="AT39" s="2405"/>
      <c r="AU39" s="2405"/>
      <c r="AV39" s="2405"/>
      <c r="AW39" s="2405"/>
      <c r="AX39" s="2405"/>
      <c r="AY39" s="2405"/>
      <c r="AZ39" s="2405"/>
      <c r="BA39" s="2405"/>
    </row>
    <row customHeight="1" ht="14.25">
      <c r="Q40" s="513"/>
      <c r="R40" s="598"/>
      <c r="S40" s="2253" t="s">
        <v>406</v>
      </c>
      <c r="T40" s="2253"/>
      <c r="U40" s="2253"/>
      <c r="V40" s="2253"/>
      <c r="W40" s="2253"/>
      <c r="X40" s="2253"/>
      <c r="Y40" s="2253"/>
      <c r="Z40" s="2253"/>
      <c r="AA40" s="2253"/>
      <c r="AB40" s="2253"/>
      <c r="AC40" s="2253"/>
      <c r="AD40" s="2253"/>
      <c r="AE40" s="2253"/>
      <c r="AF40" s="2253"/>
      <c r="AG40" s="2253"/>
      <c r="AH40" s="2253"/>
      <c r="AI40" s="2253"/>
      <c r="AJ40" s="2253"/>
      <c r="AK40" s="2253"/>
      <c r="AL40" s="2253"/>
      <c r="AM40" s="2253"/>
      <c r="AN40" s="2253"/>
      <c r="AO40" s="2253"/>
      <c r="AP40" s="2253"/>
      <c r="AQ40" s="2253"/>
      <c r="AR40" s="2253"/>
      <c r="AS40" s="2253"/>
      <c r="AT40" s="2253"/>
      <c r="AU40" s="2253"/>
      <c r="AV40" s="2253"/>
      <c r="AW40" s="2253"/>
      <c r="AX40" s="2253"/>
      <c r="AY40" s="2253"/>
      <c r="AZ40" s="2253"/>
      <c r="BA40" s="2253"/>
      <c r="BB40" s="2253"/>
      <c r="BC40" s="2253" t="s">
        <v>407</v>
      </c>
    </row>
    <row customHeight="1" ht="14.25">
      <c r="Q41" s="513"/>
      <c r="R41" s="598"/>
      <c r="S41" s="2406" t="s">
        <v>84</v>
      </c>
      <c r="T41" s="2343" t="s">
        <v>611</v>
      </c>
      <c r="U41" s="523"/>
      <c r="V41" s="2407" t="s">
        <v>533</v>
      </c>
      <c r="W41" s="2408"/>
      <c r="X41" s="2408"/>
      <c r="Y41" s="2408"/>
      <c r="Z41" s="2408"/>
      <c r="AA41" s="2408"/>
      <c r="AB41" s="2409"/>
      <c r="AC41" s="2410" t="s">
        <v>534</v>
      </c>
      <c r="AD41" s="2454" t="s">
        <v>628</v>
      </c>
      <c r="AE41" s="2429"/>
      <c r="AF41" s="2429"/>
      <c r="AG41" s="2455"/>
      <c r="AH41" s="2454" t="s">
        <v>629</v>
      </c>
      <c r="AI41" s="2429"/>
      <c r="AJ41" s="2429"/>
      <c r="AK41" s="2455"/>
      <c r="AL41" s="2454" t="s">
        <v>630</v>
      </c>
      <c r="AM41" s="2429"/>
      <c r="AN41" s="2429"/>
      <c r="AO41" s="2455"/>
      <c r="AP41" s="2454" t="s">
        <v>615</v>
      </c>
      <c r="AQ41" s="2429"/>
      <c r="AR41" s="2429"/>
      <c r="AS41" s="2455"/>
      <c r="AT41" s="2407" t="s">
        <v>533</v>
      </c>
      <c r="AU41" s="2408"/>
      <c r="AV41" s="2408"/>
      <c r="AW41" s="2408"/>
      <c r="AX41" s="2408"/>
      <c r="AY41" s="2408"/>
      <c r="AZ41" s="2409"/>
      <c r="BA41" s="2410" t="s">
        <v>534</v>
      </c>
      <c r="BB41" s="2413" t="s">
        <v>536</v>
      </c>
      <c r="BC41" s="2253"/>
    </row>
    <row customHeight="1" ht="33.75">
      <c r="Q42" s="513"/>
      <c r="R42" s="598"/>
      <c r="S42" s="2406"/>
      <c r="T42" s="2343"/>
      <c r="U42" s="1254"/>
      <c r="V42" s="2311" t="s">
        <v>616</v>
      </c>
      <c r="W42" s="2312"/>
      <c r="X42" s="2311" t="s">
        <v>617</v>
      </c>
      <c r="Y42" s="2312"/>
      <c r="Z42" s="2427" t="s">
        <v>618</v>
      </c>
      <c r="AA42" s="2445"/>
      <c r="AB42" s="2446"/>
      <c r="AC42" s="2411"/>
      <c r="AD42" s="2456"/>
      <c r="AE42" s="2457"/>
      <c r="AF42" s="2457"/>
      <c r="AG42" s="2469"/>
      <c r="AH42" s="2456"/>
      <c r="AI42" s="2457"/>
      <c r="AJ42" s="2457"/>
      <c r="AK42" s="2469"/>
      <c r="AL42" s="2456"/>
      <c r="AM42" s="2457"/>
      <c r="AN42" s="2457"/>
      <c r="AO42" s="2469"/>
      <c r="AP42" s="2456"/>
      <c r="AQ42" s="2457"/>
      <c r="AR42" s="2457"/>
      <c r="AS42" s="2469"/>
      <c r="AT42" s="2311" t="s">
        <v>631</v>
      </c>
      <c r="AU42" s="2312"/>
      <c r="AV42" s="2311" t="s">
        <v>632</v>
      </c>
      <c r="AW42" s="2312"/>
      <c r="AX42" s="2427" t="s">
        <v>618</v>
      </c>
      <c r="AY42" s="2445"/>
      <c r="AZ42" s="2446"/>
      <c r="BA42" s="2411"/>
      <c r="BB42" s="2414"/>
      <c r="BC42" s="2253"/>
    </row>
    <row customHeight="1" ht="14.25">
      <c r="Q43" s="513"/>
      <c r="R43" s="598"/>
      <c r="S43" s="2406"/>
      <c r="T43" s="2343"/>
      <c r="U43" s="1254"/>
      <c r="V43" s="2319"/>
      <c r="W43" s="2320"/>
      <c r="X43" s="2319"/>
      <c r="Y43" s="2320"/>
      <c r="Z43" s="2428"/>
      <c r="AA43" s="2447"/>
      <c r="AB43" s="2448"/>
      <c r="AC43" s="2411"/>
      <c r="AD43" s="2456"/>
      <c r="AE43" s="2457"/>
      <c r="AF43" s="2457"/>
      <c r="AG43" s="2469"/>
      <c r="AH43" s="2456"/>
      <c r="AI43" s="2457"/>
      <c r="AJ43" s="2457"/>
      <c r="AK43" s="2469"/>
      <c r="AL43" s="2456"/>
      <c r="AM43" s="2457"/>
      <c r="AN43" s="2457"/>
      <c r="AO43" s="2469"/>
      <c r="AP43" s="2456"/>
      <c r="AQ43" s="2457"/>
      <c r="AR43" s="2457"/>
      <c r="AS43" s="2469"/>
      <c r="AT43" s="2319"/>
      <c r="AU43" s="2320"/>
      <c r="AV43" s="2319"/>
      <c r="AW43" s="2320"/>
      <c r="AX43" s="2428"/>
      <c r="AY43" s="2447"/>
      <c r="AZ43" s="2448"/>
      <c r="BA43" s="2411"/>
      <c r="BB43" s="2414"/>
      <c r="BC43" s="2253"/>
    </row>
    <row customHeight="1" ht="14.25">
      <c r="A44" s="1597"/>
      <c r="B44" s="1597" t="s">
        <v>191</v>
      </c>
      <c r="C44" s="1597" t="s">
        <v>192</v>
      </c>
      <c r="D44" s="1597" t="s">
        <v>193</v>
      </c>
      <c r="E44" s="1591" t="s">
        <v>541</v>
      </c>
      <c r="F44" s="1591" t="s">
        <v>542</v>
      </c>
      <c r="G44" s="1591" t="s">
        <v>543</v>
      </c>
      <c r="H44" s="1591" t="s">
        <v>544</v>
      </c>
      <c r="I44" s="1591" t="s">
        <v>545</v>
      </c>
      <c r="J44" s="1591" t="s">
        <v>546</v>
      </c>
      <c r="K44" s="1591" t="s">
        <v>547</v>
      </c>
      <c r="L44" s="1591" t="s">
        <v>522</v>
      </c>
      <c r="Q44" s="513"/>
      <c r="R44" s="598"/>
      <c r="S44" s="2406"/>
      <c r="T44" s="2343"/>
      <c r="U44" s="524"/>
      <c r="V44" s="1706" t="s">
        <v>582</v>
      </c>
      <c r="W44" s="1706" t="s">
        <v>583</v>
      </c>
      <c r="X44" s="1706" t="s">
        <v>582</v>
      </c>
      <c r="Y44" s="1706" t="s">
        <v>583</v>
      </c>
      <c r="Z44" s="1716" t="s">
        <v>550</v>
      </c>
      <c r="AA44" s="2402" t="s">
        <v>551</v>
      </c>
      <c r="AB44" s="2403"/>
      <c r="AC44" s="2412"/>
      <c r="AD44" s="2458"/>
      <c r="AE44" s="2459"/>
      <c r="AF44" s="2459"/>
      <c r="AG44" s="2460"/>
      <c r="AH44" s="2458"/>
      <c r="AI44" s="2459"/>
      <c r="AJ44" s="2459"/>
      <c r="AK44" s="2460"/>
      <c r="AL44" s="2458"/>
      <c r="AM44" s="2459"/>
      <c r="AN44" s="2459"/>
      <c r="AO44" s="2460"/>
      <c r="AP44" s="2458"/>
      <c r="AQ44" s="2459"/>
      <c r="AR44" s="2459"/>
      <c r="AS44" s="2460"/>
      <c r="AT44" s="1706" t="s">
        <v>582</v>
      </c>
      <c r="AU44" s="1706" t="s">
        <v>583</v>
      </c>
      <c r="AV44" s="1706" t="s">
        <v>582</v>
      </c>
      <c r="AW44" s="1706" t="s">
        <v>583</v>
      </c>
      <c r="AX44" s="1716" t="s">
        <v>550</v>
      </c>
      <c r="AY44" s="2402" t="s">
        <v>551</v>
      </c>
      <c r="AZ44" s="2403"/>
      <c r="BA44" s="2412"/>
      <c r="BB44" s="2415"/>
      <c r="BC44" s="2253"/>
    </row>
    <row s="16382" customFormat="1" customHeight="1" ht="11.25" hidden="1">
      <c r="A45" s="1597"/>
      <c r="B45" s="1597"/>
      <c r="C45" s="1597"/>
      <c r="D45" s="1597"/>
      <c r="E45" s="1597"/>
      <c r="F45" s="1597"/>
      <c r="G45" s="1597"/>
      <c r="H45" s="1597"/>
      <c r="I45" s="1597"/>
      <c r="J45" s="1597"/>
      <c r="K45" s="1597"/>
      <c r="L45" s="1591"/>
      <c r="M45" s="1589"/>
      <c r="N45" s="1589"/>
      <c r="O45" s="1589"/>
      <c r="P45" s="732"/>
      <c r="Q45" s="1480"/>
      <c r="R45" s="1480">
        <v>1</v>
      </c>
      <c r="S45" s="1504" t="s">
        <v>168</v>
      </c>
      <c r="T45" s="1481" t="s">
        <v>99</v>
      </c>
      <c r="U45" s="1471" t="str">
        <f>OFFSET(U45,0,-1)</f>
        <v>2</v>
      </c>
      <c r="V45" s="1709">
        <f>OFFSET(V45,0,-1)+1</f>
        <v>3</v>
      </c>
      <c r="W45" s="1709">
        <f>OFFSET(W45,0,-1)+1</f>
        <v>4</v>
      </c>
      <c r="X45" s="1709">
        <f>OFFSET(X45,0,-1)+1</f>
        <v>5</v>
      </c>
      <c r="Y45" s="1709">
        <f>OFFSET(Y45,0,-1)+1</f>
        <v>6</v>
      </c>
      <c r="Z45" s="1709">
        <f>OFFSET(Z45,0,-1)+1</f>
        <v>7</v>
      </c>
      <c r="AA45" s="2404">
        <f>OFFSET(AA45,0,-1)+1</f>
        <v>8</v>
      </c>
      <c r="AB45" s="2404"/>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04">
        <f>OFFSET(AY45,0,-1)+1</f>
        <v>3</v>
      </c>
      <c r="AZ45" s="2404"/>
      <c r="BA45" s="1709">
        <f>OFFSET(BA45,0,-2)+1</f>
        <v>4</v>
      </c>
      <c r="BB45" s="1471">
        <f>OFFSET(BB45,0,-1)</f>
        <v>4</v>
      </c>
      <c r="BC45" s="1709">
        <f>OFFSET(BC45,0,-1)+1</f>
        <v>5</v>
      </c>
      <c r="BD45" s="733"/>
      <c r="BE45" s="733"/>
      <c r="BF45" s="733"/>
      <c r="BG45" s="733"/>
      <c r="BH45" s="733"/>
    </row>
    <row customHeight="1" ht="21">
      <c r="A46" s="1590" t="s">
        <v>382</v>
      </c>
      <c r="B46" s="1590"/>
      <c r="C46" s="1590"/>
      <c r="D46" s="1590"/>
      <c r="E46" s="2388">
        <v>1</v>
      </c>
      <c r="F46" s="1590"/>
      <c r="G46" s="1590"/>
      <c r="H46" s="1590"/>
      <c r="I46" s="1590"/>
      <c r="J46" s="1590"/>
      <c r="K46" s="1590"/>
      <c r="L46" s="1591"/>
      <c r="M46" s="1592"/>
      <c r="N46" s="1592"/>
      <c r="O46" s="1592"/>
      <c r="P46" s="1636"/>
      <c r="Q46" s="1095"/>
      <c r="R46" s="577"/>
      <c r="S46" s="1720">
        <f>INDEX(PT_DIFFERENTIATION_NUM_NTAR,MATCH(A46,PT_DIFFERENTIATION_NTAR_ID,0))</f>
        <v>0</v>
      </c>
      <c r="T46" s="520" t="s">
        <v>179</v>
      </c>
      <c r="U46" s="522"/>
      <c r="V46" s="2383"/>
      <c r="W46" s="2383"/>
      <c r="X46" s="2383"/>
      <c r="Y46" s="2383"/>
      <c r="Z46" s="2383"/>
      <c r="AA46" s="2383"/>
      <c r="AB46" s="2383"/>
      <c r="AC46" s="2384"/>
      <c r="AD46" s="2382" t="str">
        <f>INDEX(PT_DIFFERENTIATION_NTAR,MATCH(A46,PT_DIFFERENTIATION_NTAR_ID,0))</f>
        <v/>
      </c>
      <c r="AE46" s="2383"/>
      <c r="AF46" s="2383"/>
      <c r="AG46" s="2383"/>
      <c r="AH46" s="2383"/>
      <c r="AI46" s="2383"/>
      <c r="AJ46" s="2383"/>
      <c r="AK46" s="2383"/>
      <c r="AL46" s="2383"/>
      <c r="AM46" s="2383"/>
      <c r="AN46" s="2383"/>
      <c r="AO46" s="2383"/>
      <c r="AP46" s="2383"/>
      <c r="AQ46" s="2383"/>
      <c r="AR46" s="2383"/>
      <c r="AS46" s="2383"/>
      <c r="AT46" s="2383"/>
      <c r="AU46" s="2383"/>
      <c r="AV46" s="2383"/>
      <c r="AW46" s="2383"/>
      <c r="AX46" s="2383"/>
      <c r="AY46" s="2383"/>
      <c r="AZ46" s="2383"/>
      <c r="BA46" s="2383"/>
      <c r="BB46" s="2384"/>
      <c r="BC46" s="14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2"/>
      <c r="BF46" s="722" t="str">
        <f>IF(T46="","",T46)</f>
        <v>Наименование тарифа</v>
      </c>
      <c r="BG46" s="722"/>
      <c r="BH46" s="722"/>
    </row>
    <row customHeight="1" ht="21">
      <c r="A47" s="1590" t="s">
        <v>382</v>
      </c>
      <c r="B47" s="1590" t="s">
        <v>383</v>
      </c>
      <c r="C47" s="1590"/>
      <c r="D47" s="1590"/>
      <c r="E47" s="2389"/>
      <c r="F47" s="2388">
        <v>1</v>
      </c>
      <c r="G47" s="1590"/>
      <c r="H47" s="1590"/>
      <c r="I47" s="1590"/>
      <c r="J47" s="1590"/>
      <c r="K47" s="1590"/>
      <c r="L47" s="1591"/>
      <c r="M47" s="1592"/>
      <c r="N47" s="1592"/>
      <c r="O47" s="1592"/>
      <c r="P47" s="1637"/>
      <c r="Q47" s="1638"/>
      <c r="R47" s="575"/>
      <c r="S47" s="1720" t="str">
        <f>INDEX(PT_DIFFERENTIATION_NUM_TER,MATCH(B47,PT_DIFFERENTIATION_TER_ID,0))</f>
        <v>.</v>
      </c>
      <c r="T47" s="530" t="s">
        <v>503</v>
      </c>
      <c r="U47" s="522"/>
      <c r="V47" s="2383"/>
      <c r="W47" s="2383"/>
      <c r="X47" s="2383"/>
      <c r="Y47" s="2383"/>
      <c r="Z47" s="2383"/>
      <c r="AA47" s="2383"/>
      <c r="AB47" s="2383"/>
      <c r="AC47" s="2384"/>
      <c r="AD47" s="2382" t="str">
        <f>INDEX(PT_DIFFERENTIATION_TER,MATCH(B47,PT_DIFFERENTIATION_TER_ID,0))</f>
        <v/>
      </c>
      <c r="AE47" s="2383"/>
      <c r="AF47" s="2383"/>
      <c r="AG47" s="2383"/>
      <c r="AH47" s="2383"/>
      <c r="AI47" s="2383"/>
      <c r="AJ47" s="2383"/>
      <c r="AK47" s="2383"/>
      <c r="AL47" s="2383"/>
      <c r="AM47" s="2383"/>
      <c r="AN47" s="2383"/>
      <c r="AO47" s="2383"/>
      <c r="AP47" s="2383"/>
      <c r="AQ47" s="2383"/>
      <c r="AR47" s="2383"/>
      <c r="AS47" s="2383"/>
      <c r="AT47" s="2383"/>
      <c r="AU47" s="2383"/>
      <c r="AV47" s="2383"/>
      <c r="AW47" s="2383"/>
      <c r="AX47" s="2383"/>
      <c r="AY47" s="2383"/>
      <c r="AZ47" s="2383"/>
      <c r="BA47" s="2383"/>
      <c r="BB47" s="2384"/>
      <c r="BC47" s="1484" t="s">
        <v>504</v>
      </c>
      <c r="BE47" s="722"/>
      <c r="BF47" s="722" t="str">
        <f>IF(T47="","",T47)</f>
        <v>Территория действия тарифа</v>
      </c>
      <c r="BG47" s="722"/>
      <c r="BH47" s="722"/>
    </row>
    <row customHeight="1" ht="33.75">
      <c r="A48" s="1590" t="s">
        <v>382</v>
      </c>
      <c r="B48" s="1590" t="s">
        <v>383</v>
      </c>
      <c r="C48" s="1590" t="s">
        <v>384</v>
      </c>
      <c r="D48" s="1590"/>
      <c r="E48" s="2389"/>
      <c r="F48" s="2389"/>
      <c r="G48" s="2388">
        <v>1</v>
      </c>
      <c r="H48" s="1590"/>
      <c r="I48" s="1590"/>
      <c r="J48" s="1590"/>
      <c r="K48" s="1590"/>
      <c r="L48" s="1591"/>
      <c r="M48" s="1592"/>
      <c r="N48" s="1592"/>
      <c r="O48" s="1592"/>
      <c r="P48" s="1639"/>
      <c r="Q48" s="1638"/>
      <c r="R48" s="575"/>
      <c r="S48" s="1720" t="str">
        <f>INDEX(PT_DIFFERENTIATION_NUM_CS,MATCH(C48,PT_DIFFERENTIATION_CS_ID,0))</f>
        <v>..</v>
      </c>
      <c r="T48" s="531" t="s">
        <v>620</v>
      </c>
      <c r="U48" s="522"/>
      <c r="V48" s="2383"/>
      <c r="W48" s="2383"/>
      <c r="X48" s="2383"/>
      <c r="Y48" s="2383"/>
      <c r="Z48" s="2383"/>
      <c r="AA48" s="2383"/>
      <c r="AB48" s="2383"/>
      <c r="AC48" s="2384"/>
      <c r="AD48" s="2382" t="str">
        <f>INDEX(PT_DIFFERENTIATION_CS,MATCH(C48,PT_DIFFERENTIATION_CS_ID,0))</f>
        <v/>
      </c>
      <c r="AE48" s="2383"/>
      <c r="AF48" s="2383"/>
      <c r="AG48" s="2383"/>
      <c r="AH48" s="2383"/>
      <c r="AI48" s="2383"/>
      <c r="AJ48" s="2383"/>
      <c r="AK48" s="2383"/>
      <c r="AL48" s="2383"/>
      <c r="AM48" s="2383"/>
      <c r="AN48" s="2383"/>
      <c r="AO48" s="2383"/>
      <c r="AP48" s="2383"/>
      <c r="AQ48" s="2383"/>
      <c r="AR48" s="2383"/>
      <c r="AS48" s="2383"/>
      <c r="AT48" s="2383"/>
      <c r="AU48" s="2383"/>
      <c r="AV48" s="2383"/>
      <c r="AW48" s="2383"/>
      <c r="AX48" s="2383"/>
      <c r="AY48" s="2383"/>
      <c r="AZ48" s="2383"/>
      <c r="BA48" s="2383"/>
      <c r="BB48" s="2384"/>
      <c r="BC48" s="1484" t="s">
        <v>621</v>
      </c>
      <c r="BE48" s="722"/>
      <c r="BF48" s="722" t="str">
        <f>IF(T48="","",T48)</f>
        <v>Наименование централизованной системы водоотведения</v>
      </c>
      <c r="BG48" s="722"/>
      <c r="BH48" s="722"/>
    </row>
    <row s="16622" customFormat="1" customHeight="1" ht="0">
      <c r="A49" s="1570" t="s">
        <v>382</v>
      </c>
      <c r="B49" s="1570" t="s">
        <v>383</v>
      </c>
      <c r="C49" s="1570" t="s">
        <v>384</v>
      </c>
      <c r="D49" s="1570" t="s">
        <v>633</v>
      </c>
      <c r="E49" s="2389"/>
      <c r="F49" s="2389"/>
      <c r="G49" s="2389"/>
      <c r="H49" s="2388">
        <v>1</v>
      </c>
      <c r="I49" s="1570"/>
      <c r="J49" s="1570"/>
      <c r="K49" s="1570"/>
      <c r="L49" s="1573"/>
      <c r="M49" s="1542"/>
      <c r="N49" s="1542"/>
      <c r="O49" s="1542"/>
      <c r="P49" s="1724"/>
      <c r="Q49" s="1725"/>
      <c r="R49" s="579"/>
      <c r="S49" s="1265"/>
      <c r="T49" s="1726"/>
      <c r="U49" s="1611"/>
      <c r="V49" s="2431"/>
      <c r="W49" s="2431"/>
      <c r="X49" s="2431"/>
      <c r="Y49" s="2431"/>
      <c r="Z49" s="2431"/>
      <c r="AA49" s="2431"/>
      <c r="AB49" s="2431"/>
      <c r="AC49" s="2432"/>
      <c r="AD49" s="2430"/>
      <c r="AE49" s="2431"/>
      <c r="AF49" s="2431"/>
      <c r="AG49" s="2431"/>
      <c r="AH49" s="2431"/>
      <c r="AI49" s="2431"/>
      <c r="AJ49" s="2431"/>
      <c r="AK49" s="2431"/>
      <c r="AL49" s="2431"/>
      <c r="AM49" s="2431"/>
      <c r="AN49" s="2431"/>
      <c r="AO49" s="2431"/>
      <c r="AP49" s="2431"/>
      <c r="AQ49" s="2431"/>
      <c r="AR49" s="2431"/>
      <c r="AS49" s="2431"/>
      <c r="AT49" s="2431"/>
      <c r="AU49" s="2431"/>
      <c r="AV49" s="2431"/>
      <c r="AW49" s="2431"/>
      <c r="AX49" s="2431"/>
      <c r="AY49" s="2431"/>
      <c r="AZ49" s="2431"/>
      <c r="BA49" s="2431"/>
      <c r="BB49" s="2432"/>
      <c r="BC49" s="1612" t="s">
        <v>508</v>
      </c>
      <c r="BE49" s="722"/>
      <c r="BF49" s="722" t="str">
        <f>IF(T49="","",T49)</f>
        <v/>
      </c>
      <c r="BG49" s="722"/>
      <c r="BH49" s="722"/>
    </row>
    <row s="16622" customFormat="1" customHeight="1" ht="0">
      <c r="A50" s="1570" t="s">
        <v>382</v>
      </c>
      <c r="B50" s="1570" t="s">
        <v>383</v>
      </c>
      <c r="C50" s="1570" t="s">
        <v>384</v>
      </c>
      <c r="D50" s="1570" t="s">
        <v>633</v>
      </c>
      <c r="E50" s="2389"/>
      <c r="F50" s="2389"/>
      <c r="G50" s="2389"/>
      <c r="H50" s="2389"/>
      <c r="I50" s="2390" t="str">
        <f>S49&amp;".1"</f>
        <v>.1</v>
      </c>
      <c r="J50" s="1570"/>
      <c r="K50" s="1570"/>
      <c r="L50" s="1573" t="s">
        <v>509</v>
      </c>
      <c r="M50" s="732"/>
      <c r="N50" s="732"/>
      <c r="O50" s="732"/>
      <c r="P50" s="2392">
        <v>1</v>
      </c>
      <c r="Q50" s="1708"/>
      <c r="R50" s="578"/>
      <c r="S50" s="1265"/>
      <c r="T50" s="1610"/>
      <c r="U50" s="1611"/>
      <c r="V50" s="2431"/>
      <c r="W50" s="2431"/>
      <c r="X50" s="2431"/>
      <c r="Y50" s="2431"/>
      <c r="Z50" s="2431"/>
      <c r="AA50" s="2431"/>
      <c r="AB50" s="2431"/>
      <c r="AC50" s="2432"/>
      <c r="AD50" s="2430"/>
      <c r="AE50" s="2431"/>
      <c r="AF50" s="2431"/>
      <c r="AG50" s="2431"/>
      <c r="AH50" s="2431"/>
      <c r="AI50" s="2431"/>
      <c r="AJ50" s="2431"/>
      <c r="AK50" s="2431"/>
      <c r="AL50" s="2431"/>
      <c r="AM50" s="2431"/>
      <c r="AN50" s="2431"/>
      <c r="AO50" s="2431"/>
      <c r="AP50" s="2431"/>
      <c r="AQ50" s="2431"/>
      <c r="AR50" s="2431"/>
      <c r="AS50" s="2431"/>
      <c r="AT50" s="2431"/>
      <c r="AU50" s="2431"/>
      <c r="AV50" s="2431"/>
      <c r="AW50" s="2431"/>
      <c r="AX50" s="2431"/>
      <c r="AY50" s="2431"/>
      <c r="AZ50" s="2431"/>
      <c r="BA50" s="2431"/>
      <c r="BB50" s="2432"/>
      <c r="BC50" s="1612"/>
      <c r="BE50" s="722"/>
      <c r="BF50" s="722" t="str">
        <f>IF(T50="","",T50)</f>
        <v/>
      </c>
      <c r="BG50" s="722"/>
      <c r="BH50" s="722"/>
    </row>
    <row s="16622" customFormat="1" customHeight="1" ht="0">
      <c r="A51" s="1570" t="s">
        <v>382</v>
      </c>
      <c r="B51" s="1570" t="s">
        <v>383</v>
      </c>
      <c r="C51" s="1570" t="s">
        <v>384</v>
      </c>
      <c r="D51" s="1570" t="s">
        <v>633</v>
      </c>
      <c r="E51" s="2389"/>
      <c r="F51" s="2389"/>
      <c r="G51" s="2389"/>
      <c r="H51" s="2389"/>
      <c r="I51" s="2391"/>
      <c r="J51" s="2390" t="str">
        <f>S49&amp;".1"</f>
        <v>.1</v>
      </c>
      <c r="K51" s="1570"/>
      <c r="L51" s="1573"/>
      <c r="M51" s="732"/>
      <c r="N51" s="732"/>
      <c r="O51" s="732"/>
      <c r="P51" s="2392"/>
      <c r="Q51" s="2392">
        <v>1</v>
      </c>
      <c r="R51" s="579"/>
      <c r="S51" s="1265"/>
      <c r="T51" s="1626"/>
      <c r="U51" s="1611"/>
      <c r="V51" s="2431"/>
      <c r="W51" s="2431"/>
      <c r="X51" s="2431"/>
      <c r="Y51" s="2431"/>
      <c r="Z51" s="2431"/>
      <c r="AA51" s="2431"/>
      <c r="AB51" s="2431"/>
      <c r="AC51" s="2432"/>
      <c r="AD51" s="2430"/>
      <c r="AE51" s="2431"/>
      <c r="AF51" s="2431"/>
      <c r="AG51" s="2431"/>
      <c r="AH51" s="2431"/>
      <c r="AI51" s="2431"/>
      <c r="AJ51" s="2431"/>
      <c r="AK51" s="2431"/>
      <c r="AL51" s="2431"/>
      <c r="AM51" s="2431"/>
      <c r="AN51" s="2491"/>
      <c r="AO51" s="2491"/>
      <c r="AP51" s="2431"/>
      <c r="AQ51" s="2431"/>
      <c r="AR51" s="2431"/>
      <c r="AS51" s="2431"/>
      <c r="AT51" s="2431"/>
      <c r="AU51" s="2431"/>
      <c r="AV51" s="2431"/>
      <c r="AW51" s="2431"/>
      <c r="AX51" s="2431"/>
      <c r="AY51" s="2431"/>
      <c r="AZ51" s="2431"/>
      <c r="BA51" s="2431"/>
      <c r="BB51" s="2432"/>
      <c r="BC51" s="1612"/>
      <c r="BE51" s="722"/>
      <c r="BF51" s="722" t="str">
        <f>IF(T51="","",T51)</f>
        <v/>
      </c>
      <c r="BG51" s="722"/>
      <c r="BH51" s="722"/>
    </row>
    <row customHeight="1" ht="11.25">
      <c r="A52" s="1590" t="s">
        <v>382</v>
      </c>
      <c r="B52" s="1590" t="s">
        <v>383</v>
      </c>
      <c r="C52" s="1590" t="s">
        <v>384</v>
      </c>
      <c r="D52" s="1590" t="s">
        <v>633</v>
      </c>
      <c r="E52" s="2389"/>
      <c r="F52" s="2389"/>
      <c r="G52" s="2389"/>
      <c r="H52" s="2389"/>
      <c r="I52" s="2391"/>
      <c r="J52" s="2391"/>
      <c r="K52" s="2390" t="str">
        <f>S48&amp;".1"</f>
        <v>...1</v>
      </c>
      <c r="L52" s="1591"/>
      <c r="P52" s="2392"/>
      <c r="Q52" s="2392"/>
      <c r="R52" s="579">
        <v>1</v>
      </c>
      <c r="S52" s="2465" t="str">
        <f>$K52</f>
        <v>...1</v>
      </c>
      <c r="T52" s="2485"/>
      <c r="U52" s="522"/>
      <c r="V52" s="973"/>
      <c r="W52" s="1483"/>
      <c r="X52" s="973"/>
      <c r="Y52" s="1483"/>
      <c r="Z52" s="1961"/>
      <c r="AA52" s="1696" t="s">
        <v>63</v>
      </c>
      <c r="AB52" s="1961"/>
      <c r="AC52" s="1696" t="s">
        <v>63</v>
      </c>
      <c r="AD52" s="2326" t="s">
        <v>63</v>
      </c>
      <c r="AE52" s="2461"/>
      <c r="AF52" s="2339">
        <v>1</v>
      </c>
      <c r="AG52" s="2484"/>
      <c r="AH52" s="2263" t="s">
        <v>63</v>
      </c>
      <c r="AI52" s="2461"/>
      <c r="AJ52" s="2339">
        <v>1</v>
      </c>
      <c r="AK52" s="2483" t="s">
        <v>24</v>
      </c>
      <c r="AL52" s="2263" t="s">
        <v>63</v>
      </c>
      <c r="AM52" s="2311"/>
      <c r="AN52" s="2339">
        <v>1</v>
      </c>
      <c r="AO52" s="2488"/>
      <c r="AP52" s="2489" t="s">
        <v>63</v>
      </c>
      <c r="AQ52" s="533"/>
      <c r="AR52" s="1713">
        <v>1</v>
      </c>
      <c r="AS52" s="1719" t="s">
        <v>24</v>
      </c>
      <c r="AT52" s="973"/>
      <c r="AU52" s="1483"/>
      <c r="AV52" s="973"/>
      <c r="AW52" s="1483"/>
      <c r="AX52" s="1961"/>
      <c r="AY52" s="1696" t="s">
        <v>63</v>
      </c>
      <c r="AZ52" s="1961"/>
      <c r="BA52" s="1696" t="s">
        <v>63</v>
      </c>
      <c r="BB52" s="1575"/>
      <c r="BC52" s="2418" t="s">
        <v>605</v>
      </c>
      <c r="BE52" s="722"/>
      <c r="BF52" s="722" t="str">
        <f>IF(T52="","",T52)</f>
        <v/>
      </c>
      <c r="BG52" s="722"/>
      <c r="BH52" s="722"/>
    </row>
    <row customHeight="1" ht="11.25">
      <c r="A53" s="1590"/>
      <c r="B53" s="1590"/>
      <c r="C53" s="1590"/>
      <c r="D53" s="1590"/>
      <c r="E53" s="2389"/>
      <c r="F53" s="2389"/>
      <c r="G53" s="2389"/>
      <c r="H53" s="2389"/>
      <c r="I53" s="2391"/>
      <c r="J53" s="2391"/>
      <c r="K53" s="2390"/>
      <c r="L53" s="1591"/>
      <c r="P53" s="2392"/>
      <c r="Q53" s="2392"/>
      <c r="R53" s="579"/>
      <c r="S53" s="2466"/>
      <c r="T53" s="2486"/>
      <c r="U53" s="522"/>
      <c r="V53" s="1620"/>
      <c r="W53" s="1723"/>
      <c r="X53" s="1620"/>
      <c r="Y53" s="1723"/>
      <c r="Z53" s="1620"/>
      <c r="AA53" s="1620"/>
      <c r="AB53" s="1620"/>
      <c r="AC53" s="1620"/>
      <c r="AD53" s="2327"/>
      <c r="AE53" s="2461"/>
      <c r="AF53" s="2339"/>
      <c r="AG53" s="2484"/>
      <c r="AH53" s="2263"/>
      <c r="AI53" s="2461"/>
      <c r="AJ53" s="2339"/>
      <c r="AK53" s="2483"/>
      <c r="AL53" s="2263"/>
      <c r="AM53" s="2319"/>
      <c r="AN53" s="2339"/>
      <c r="AO53" s="2488"/>
      <c r="AP53" s="2490"/>
      <c r="AQ53" s="538"/>
      <c r="AR53" s="638"/>
      <c r="AS53" s="638" t="s">
        <v>606</v>
      </c>
      <c r="AT53" s="1620"/>
      <c r="AU53" s="1723"/>
      <c r="AV53" s="1620"/>
      <c r="AW53" s="1723"/>
      <c r="AX53" s="1620"/>
      <c r="AY53" s="1620"/>
      <c r="AZ53" s="1620"/>
      <c r="BA53" s="1620"/>
      <c r="BB53" s="1624"/>
      <c r="BC53" s="2419"/>
      <c r="BE53" s="722"/>
      <c r="BF53" s="722"/>
      <c r="BG53" s="722"/>
      <c r="BH53" s="722"/>
    </row>
    <row customHeight="1" ht="11.25">
      <c r="A54" s="1590" t="s">
        <v>382</v>
      </c>
      <c r="B54" s="1590"/>
      <c r="C54" s="1590"/>
      <c r="D54" s="1590"/>
      <c r="E54" s="2389"/>
      <c r="F54" s="2389"/>
      <c r="G54" s="2389"/>
      <c r="H54" s="2389"/>
      <c r="I54" s="2391"/>
      <c r="J54" s="2391"/>
      <c r="K54" s="2390"/>
      <c r="L54" s="1591"/>
      <c r="P54" s="2392"/>
      <c r="Q54" s="2392"/>
      <c r="R54" s="579"/>
      <c r="S54" s="2466"/>
      <c r="T54" s="2486"/>
      <c r="U54" s="522"/>
      <c r="V54" s="1620"/>
      <c r="W54" s="1723"/>
      <c r="X54" s="1620"/>
      <c r="Y54" s="1723"/>
      <c r="Z54" s="1620"/>
      <c r="AA54" s="1620"/>
      <c r="AB54" s="1620"/>
      <c r="AC54" s="1620"/>
      <c r="AD54" s="2327"/>
      <c r="AE54" s="2461"/>
      <c r="AF54" s="2339"/>
      <c r="AG54" s="2484"/>
      <c r="AH54" s="2263"/>
      <c r="AI54" s="2461"/>
      <c r="AJ54" s="2339"/>
      <c r="AK54" s="2483"/>
      <c r="AL54" s="2263"/>
      <c r="AM54" s="538"/>
      <c r="AN54" s="1727"/>
      <c r="AO54" s="1727" t="s">
        <v>626</v>
      </c>
      <c r="AP54" s="638"/>
      <c r="AQ54" s="638"/>
      <c r="AR54" s="638"/>
      <c r="AS54" s="1620"/>
      <c r="AT54" s="1620"/>
      <c r="AU54" s="1723"/>
      <c r="AV54" s="1620"/>
      <c r="AW54" s="1723"/>
      <c r="AX54" s="1620"/>
      <c r="AY54" s="1620"/>
      <c r="AZ54" s="1620"/>
      <c r="BA54" s="1620"/>
      <c r="BB54" s="1624"/>
      <c r="BC54" s="2419"/>
      <c r="BE54" s="722"/>
      <c r="BF54" s="722"/>
      <c r="BG54" s="722"/>
      <c r="BH54" s="722"/>
    </row>
    <row customHeight="1" ht="11.25">
      <c r="A55" s="1590" t="s">
        <v>382</v>
      </c>
      <c r="B55" s="1590"/>
      <c r="C55" s="1590"/>
      <c r="D55" s="1590"/>
      <c r="E55" s="2389"/>
      <c r="F55" s="2389"/>
      <c r="G55" s="2389"/>
      <c r="H55" s="2389"/>
      <c r="I55" s="2391"/>
      <c r="J55" s="2391"/>
      <c r="K55" s="2390"/>
      <c r="L55" s="1591"/>
      <c r="P55" s="2392"/>
      <c r="Q55" s="2392"/>
      <c r="R55" s="579"/>
      <c r="S55" s="2466"/>
      <c r="T55" s="2486"/>
      <c r="U55" s="522"/>
      <c r="V55" s="1620"/>
      <c r="W55" s="1723"/>
      <c r="X55" s="1620"/>
      <c r="Y55" s="1723"/>
      <c r="Z55" s="1620"/>
      <c r="AA55" s="1620"/>
      <c r="AB55" s="1620"/>
      <c r="AC55" s="1620"/>
      <c r="AD55" s="2327"/>
      <c r="AE55" s="2461"/>
      <c r="AF55" s="2339"/>
      <c r="AG55" s="2484"/>
      <c r="AH55" s="2263"/>
      <c r="AI55" s="516"/>
      <c r="AJ55" s="637"/>
      <c r="AK55" s="535" t="s">
        <v>627</v>
      </c>
      <c r="AL55" s="1620"/>
      <c r="AM55" s="1620"/>
      <c r="AN55" s="1620"/>
      <c r="AO55" s="1620"/>
      <c r="AP55" s="1620"/>
      <c r="AQ55" s="1620"/>
      <c r="AR55" s="1620"/>
      <c r="AS55" s="1620"/>
      <c r="AT55" s="1620"/>
      <c r="AU55" s="1723"/>
      <c r="AV55" s="1620"/>
      <c r="AW55" s="1723"/>
      <c r="AX55" s="1620"/>
      <c r="AY55" s="1620"/>
      <c r="AZ55" s="1620"/>
      <c r="BA55" s="1620"/>
      <c r="BB55" s="1624"/>
      <c r="BC55" s="2419"/>
      <c r="BE55" s="722"/>
      <c r="BF55" s="722"/>
      <c r="BG55" s="722"/>
      <c r="BH55" s="722"/>
    </row>
    <row customHeight="1" ht="11.25">
      <c r="A56" s="1590" t="s">
        <v>382</v>
      </c>
      <c r="B56" s="1590" t="s">
        <v>383</v>
      </c>
      <c r="C56" s="1590" t="s">
        <v>384</v>
      </c>
      <c r="D56" s="1590" t="s">
        <v>633</v>
      </c>
      <c r="E56" s="2389"/>
      <c r="F56" s="2389"/>
      <c r="G56" s="2389"/>
      <c r="H56" s="2389"/>
      <c r="I56" s="2391"/>
      <c r="J56" s="2391"/>
      <c r="K56" s="2390"/>
      <c r="L56" s="1591"/>
      <c r="P56" s="2392"/>
      <c r="Q56" s="2392"/>
      <c r="R56" s="579"/>
      <c r="S56" s="2467"/>
      <c r="T56" s="2487"/>
      <c r="U56" s="522"/>
      <c r="V56" s="1620"/>
      <c r="W56" s="1621" t="str">
        <f>Z52&amp;"-"&amp;AB52</f>
        <v>-</v>
      </c>
      <c r="X56" s="1620"/>
      <c r="Y56" s="1621" t="str">
        <f>AB52&amp;"-"&amp;AD52</f>
        <v>-да</v>
      </c>
      <c r="Z56" s="1620"/>
      <c r="AA56" s="1620"/>
      <c r="AB56" s="1620"/>
      <c r="AC56" s="1620"/>
      <c r="AD56" s="2268"/>
      <c r="AE56" s="534"/>
      <c r="AF56" s="536"/>
      <c r="AG56" s="638" t="s">
        <v>609</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19"/>
      <c r="BE56" s="722"/>
      <c r="BF56" s="722" t="str">
        <f>IF(T56="","",T56)</f>
        <v/>
      </c>
      <c r="BG56" s="722"/>
      <c r="BH56" s="722"/>
    </row>
    <row customHeight="1" ht="11.25">
      <c r="A57" s="1590" t="s">
        <v>382</v>
      </c>
      <c r="B57" s="1590" t="s">
        <v>383</v>
      </c>
      <c r="C57" s="1590" t="s">
        <v>384</v>
      </c>
      <c r="D57" s="1590" t="s">
        <v>633</v>
      </c>
      <c r="E57" s="2389"/>
      <c r="F57" s="2389"/>
      <c r="G57" s="2389"/>
      <c r="H57" s="2389"/>
      <c r="I57" s="2391"/>
      <c r="J57" s="2390"/>
      <c r="K57" s="1590"/>
      <c r="L57" s="1591"/>
      <c r="P57" s="2392"/>
      <c r="Q57" s="2392"/>
      <c r="R57" s="578"/>
      <c r="S57" s="1505"/>
      <c r="T57" s="509" t="s">
        <v>571</v>
      </c>
      <c r="U57" s="589"/>
      <c r="V57" s="589"/>
      <c r="W57" s="589"/>
      <c r="X57" s="589"/>
      <c r="Y57" s="589"/>
      <c r="Z57" s="589"/>
      <c r="AA57" s="589"/>
      <c r="AB57" s="589"/>
      <c r="AC57" s="546"/>
      <c r="AD57" s="1732"/>
      <c r="AE57" s="589"/>
      <c r="AF57" s="589"/>
      <c r="AG57" s="589"/>
      <c r="AH57" s="589"/>
      <c r="AI57" s="589"/>
      <c r="AJ57" s="589"/>
      <c r="AK57" s="589"/>
      <c r="AL57" s="589"/>
      <c r="AM57" s="589"/>
      <c r="AN57" s="589"/>
      <c r="AO57" s="589"/>
      <c r="AP57" s="589"/>
      <c r="AQ57" s="589"/>
      <c r="AR57" s="589"/>
      <c r="AS57" s="589"/>
      <c r="AT57" s="589"/>
      <c r="AU57" s="589"/>
      <c r="AV57" s="589"/>
      <c r="AW57" s="589"/>
      <c r="AX57" s="589"/>
      <c r="AY57" s="589"/>
      <c r="AZ57" s="589"/>
      <c r="BA57" s="589"/>
      <c r="BB57" s="546"/>
      <c r="BC57" s="2420"/>
      <c r="BE57" s="722"/>
      <c r="BF57" s="722" t="str">
        <f>IF(T57="","",T57)</f>
        <v>Добавить строку</v>
      </c>
      <c r="BG57" s="722"/>
      <c r="BH57" s="722"/>
    </row>
    <row s="16622" customFormat="1" customHeight="1" ht="0">
      <c r="A58" s="1570" t="s">
        <v>382</v>
      </c>
      <c r="B58" s="1570" t="s">
        <v>383</v>
      </c>
      <c r="C58" s="1570" t="s">
        <v>384</v>
      </c>
      <c r="D58" s="1570" t="s">
        <v>633</v>
      </c>
      <c r="E58" s="2389"/>
      <c r="F58" s="2389"/>
      <c r="G58" s="2389"/>
      <c r="H58" s="2389"/>
      <c r="I58" s="2390"/>
      <c r="J58" s="1570"/>
      <c r="K58" s="1570"/>
      <c r="L58" s="1573"/>
      <c r="M58" s="732"/>
      <c r="N58" s="732"/>
      <c r="O58" s="732"/>
      <c r="P58" s="2392"/>
      <c r="Q58" s="1708"/>
      <c r="R58" s="578"/>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2"/>
      <c r="BF58" s="722" t="str">
        <f>IF(T58="","",T58)</f>
        <v/>
      </c>
      <c r="BG58" s="722"/>
      <c r="BH58" s="722"/>
    </row>
    <row s="16622" customFormat="1" customHeight="1" ht="0">
      <c r="A59" s="1570" t="s">
        <v>382</v>
      </c>
      <c r="B59" s="1570" t="s">
        <v>383</v>
      </c>
      <c r="C59" s="1570" t="s">
        <v>384</v>
      </c>
      <c r="D59" s="1570" t="s">
        <v>633</v>
      </c>
      <c r="E59" s="2389"/>
      <c r="F59" s="2389"/>
      <c r="G59" s="2389"/>
      <c r="H59" s="2388"/>
      <c r="I59" s="1570"/>
      <c r="J59" s="1570"/>
      <c r="K59" s="1570"/>
      <c r="L59" s="1573"/>
      <c r="M59" s="1542"/>
      <c r="N59" s="1542"/>
      <c r="O59" s="740"/>
      <c r="P59" s="602"/>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2"/>
      <c r="BF59" s="722" t="str">
        <f>IF(T59="","",T59)</f>
        <v/>
      </c>
      <c r="BG59" s="722"/>
      <c r="BH59" s="722"/>
    </row>
    <row s="16531" customFormat="1" customHeight="1" ht="0">
      <c r="A60" s="1570" t="s">
        <v>382</v>
      </c>
      <c r="B60" s="1570" t="s">
        <v>383</v>
      </c>
      <c r="C60" s="1570" t="s">
        <v>384</v>
      </c>
      <c r="D60" s="1541"/>
      <c r="E60" s="2389"/>
      <c r="F60" s="2389"/>
      <c r="G60" s="2388"/>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1"/>
      <c r="BF60" s="1011" t="str">
        <f>IF(T60="","",T60)</f>
        <v/>
      </c>
      <c r="BG60" s="1011"/>
      <c r="BH60" s="1011"/>
    </row>
    <row s="16531" customFormat="1" customHeight="1" ht="0">
      <c r="A61" s="1570" t="s">
        <v>382</v>
      </c>
      <c r="B61" s="1570" t="s">
        <v>383</v>
      </c>
      <c r="C61" s="1541"/>
      <c r="D61" s="1541"/>
      <c r="E61" s="2389"/>
      <c r="F61" s="2388"/>
      <c r="G61" s="1541"/>
      <c r="H61" s="1541"/>
      <c r="I61" s="1541"/>
      <c r="J61" s="1541"/>
      <c r="K61" s="1541"/>
      <c r="L61" s="1721"/>
      <c r="M61" s="1548"/>
      <c r="N61" s="1548"/>
      <c r="P61" s="1543"/>
      <c r="Q61" s="1544"/>
      <c r="R61" s="1543"/>
      <c r="S61" s="1549"/>
      <c r="T61" s="1552" t="s">
        <v>305</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1"/>
      <c r="BF61" s="1011" t="str">
        <f>IF(T61="","",T61)</f>
        <v>Добавить централизованную систему для дифференциации</v>
      </c>
      <c r="BG61" s="1011"/>
      <c r="BH61" s="1011"/>
    </row>
    <row s="16622" customFormat="1" customHeight="1" ht="0">
      <c r="A62" s="1570" t="s">
        <v>382</v>
      </c>
      <c r="B62" s="1570"/>
      <c r="C62" s="1570"/>
      <c r="D62" s="1570"/>
      <c r="E62" s="2388"/>
      <c r="F62" s="1570"/>
      <c r="G62" s="1570"/>
      <c r="H62" s="1570"/>
      <c r="I62" s="1570"/>
      <c r="J62" s="1570"/>
      <c r="K62" s="1570"/>
      <c r="L62" s="1573"/>
      <c r="M62" s="1548"/>
      <c r="N62" s="1548"/>
      <c r="O62" s="740"/>
      <c r="P62" s="602"/>
      <c r="Q62" s="1571"/>
      <c r="R62" s="602"/>
      <c r="S62" s="1549"/>
      <c r="T62" s="1552" t="s">
        <v>358</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2"/>
      <c r="BF62" s="722" t="str">
        <f>IF(T62="","",T62)</f>
        <v>Добавить территорию для дифференциации</v>
      </c>
      <c r="BG62" s="722"/>
      <c r="BH62" s="722"/>
    </row>
    <row s="16531"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359</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1"/>
      <c r="BF63" s="1011" t="str">
        <f>IF(T63="","",T63)</f>
        <v>Добавить наименование тарифа</v>
      </c>
      <c r="BG63" s="1011"/>
      <c r="BH63" s="1011"/>
    </row>
    <row customHeight="1" ht="11.25">
      <c r="M64" s="1384"/>
      <c r="N64" s="1384"/>
      <c r="O64" s="759"/>
      <c r="P64" s="1384"/>
      <c r="Q64" s="1384"/>
      <c r="R64" s="1379"/>
      <c r="S64" s="1379"/>
      <c r="BD64" s="1379"/>
      <c r="BE64" s="1379"/>
      <c r="BF64" s="1379"/>
      <c r="BG64" s="1379"/>
      <c r="BH64" s="1379"/>
    </row>
    <row customHeight="1" ht="14.25">
      <c r="O65" s="759"/>
      <c r="S65" s="1479"/>
      <c r="T65" s="2387"/>
      <c r="U65" s="2387"/>
      <c r="V65" s="2387"/>
      <c r="W65" s="2387"/>
      <c r="X65" s="2387"/>
      <c r="Y65" s="2387"/>
      <c r="Z65" s="2387"/>
      <c r="AA65" s="2387"/>
      <c r="AB65" s="2387"/>
      <c r="AC65" s="2387"/>
      <c r="AD65" s="2387"/>
      <c r="AE65" s="2387"/>
      <c r="AF65" s="2387"/>
      <c r="AG65" s="2387"/>
      <c r="AH65" s="2387"/>
      <c r="AI65" s="2387"/>
      <c r="AJ65" s="2387"/>
      <c r="AK65" s="2387"/>
      <c r="AL65" s="2387"/>
      <c r="AM65" s="2387"/>
      <c r="AN65" s="2387"/>
      <c r="AO65" s="2387"/>
      <c r="AP65" s="2387"/>
      <c r="AQ65" s="2387"/>
      <c r="AR65" s="2387"/>
      <c r="AS65" s="2387"/>
      <c r="AT65" s="2387"/>
      <c r="AU65" s="2387"/>
      <c r="AV65" s="2387"/>
      <c r="AW65" s="2387"/>
      <c r="AX65" s="2387"/>
      <c r="AY65" s="2387"/>
      <c r="AZ65" s="2387"/>
      <c r="BA65" s="2387"/>
      <c r="BB65" s="2387"/>
      <c r="BC65" s="2387"/>
    </row>
    <row customHeight="1" ht="14.25">
      <c r="O66" s="759"/>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row>
    <row customHeight="1" ht="14.25">
      <c r="O67" s="759"/>
      <c r="S67" s="1479"/>
      <c r="T67" s="2387"/>
      <c r="U67" s="2387"/>
      <c r="V67" s="2387"/>
      <c r="W67" s="2387"/>
      <c r="X67" s="2387"/>
      <c r="Y67" s="2387"/>
      <c r="Z67" s="2387"/>
      <c r="AA67" s="2387"/>
      <c r="AB67" s="2387"/>
      <c r="AC67" s="2387"/>
      <c r="AD67" s="2387"/>
      <c r="AE67" s="2387"/>
      <c r="AF67" s="2387"/>
      <c r="AG67" s="2387"/>
      <c r="AH67" s="2387"/>
      <c r="AI67" s="2387"/>
      <c r="AJ67" s="2387"/>
      <c r="AK67" s="2387"/>
      <c r="AL67" s="2387"/>
      <c r="AM67" s="2387"/>
      <c r="AN67" s="2387"/>
      <c r="AO67" s="2387"/>
      <c r="AP67" s="2387"/>
      <c r="AQ67" s="2387"/>
      <c r="AR67" s="2387"/>
      <c r="AS67" s="2387"/>
      <c r="AT67" s="2387"/>
      <c r="AU67" s="2387"/>
      <c r="AV67" s="2387"/>
      <c r="AW67" s="2387"/>
      <c r="AX67" s="2387"/>
      <c r="AY67" s="2387"/>
      <c r="AZ67" s="2387"/>
      <c r="BA67" s="2387"/>
      <c r="BB67" s="2387"/>
      <c r="BC67" s="2387"/>
    </row>
    <row customHeight="1" ht="14.25">
      <c r="O68" s="759"/>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1CCEBA-DBF3-D0F4-2942-A33AF2D61559}" mc:Ignorable="x14ac xr xr2 xr3">
  <sheetPr>
    <tabColor theme="6" tint="0.4"/>
  </sheetPr>
  <dimension ref="A1:DW188"/>
  <sheetViews>
    <sheetView topLeftCell="P23" showGridLines="0" zoomScale="90" workbookViewId="0" tabSelected="1">
      <selection activeCell="AZ177" sqref="AZ177:AZ178"/>
    </sheetView>
  </sheetViews>
  <sheetFormatPr defaultColWidth="10.57421875" customHeight="1" defaultRowHeight="14.25"/>
  <cols>
    <col min="1" max="1" style="16550" width="10.57421875" hidden="1"/>
    <col min="2" max="2" style="16550" width="11.00390625" hidden="1" customWidth="1"/>
    <col min="3" max="3" style="16550" width="10.57421875" hidden="1"/>
    <col min="4" max="4" style="16550" width="11.8515625" hidden="1" customWidth="1"/>
    <col min="5" max="5" style="16550" width="10.00390625" hidden="1" customWidth="1"/>
    <col min="6" max="6" style="16550" width="8.7109375" hidden="1" customWidth="1"/>
    <col min="7" max="7" style="16550" width="7.57421875" hidden="1" customWidth="1"/>
    <col min="8" max="8" style="16550" width="11.421875" hidden="1" customWidth="1"/>
    <col min="9" max="9" style="16550" width="14.140625" hidden="1" customWidth="1"/>
    <col min="10" max="10" style="16550" width="9.8515625" hidden="1" customWidth="1"/>
    <col min="11" max="11" style="16550" width="14.7109375" hidden="1" customWidth="1"/>
    <col min="12" max="12" style="16899" width="19.140625" hidden="1" customWidth="1"/>
    <col min="13" max="14" style="16631" width="12.28125" hidden="1" customWidth="1"/>
    <col min="15" max="15" style="16631" width="23.421875" hidden="1" customWidth="1"/>
    <col min="16" max="16" style="16900" width="3.7109375" customWidth="1"/>
    <col min="17" max="18" style="16633" width="3.7109375" customWidth="1"/>
    <col min="19" max="19" style="16634" width="12.7109375" customWidth="1"/>
    <col min="20" max="20" style="16635" width="35.7109375" customWidth="1"/>
    <col min="21" max="21" style="16635" width="0.140625" customWidth="1"/>
    <col min="22" max="22" style="16635" width="19.7109375" hidden="1" customWidth="1"/>
    <col min="23" max="28" style="16676" width="19.7109375" hidden="1" customWidth="1"/>
    <col min="29" max="29" style="16635" width="11.7109375" hidden="1" customWidth="1"/>
    <col min="30" max="30" style="16635" width="3.7109375" hidden="1" customWidth="1"/>
    <col min="31" max="31" style="16635" width="11.7109375" hidden="1" customWidth="1"/>
    <col min="32" max="32" style="16635" width="8.57421875" hidden="1" customWidth="1"/>
    <col min="33" max="33" style="16635" width="12.421875" customWidth="1"/>
    <col min="34" max="34" style="16676" width="15.140625" customWidth="1"/>
    <col min="35" max="35" style="16676" width="13.8515625" customWidth="1"/>
    <col min="36" max="36" style="16676" width="12.28125" customWidth="1"/>
    <col min="37" max="37" style="16676" width="14.57421875" customWidth="1"/>
    <col min="38" max="38" style="16676" width="13.8515625" customWidth="1"/>
    <col min="39" max="39" style="16635" width="12.8515625" customWidth="1"/>
    <col min="40" max="40" style="16635" width="11.8515625" customWidth="1"/>
    <col min="41" max="41" style="16635" width="3.7109375" customWidth="1"/>
    <col min="42" max="42" style="16635" width="10.8515625" customWidth="1"/>
    <col min="43" max="43" style="16635" width="8.57421875" customWidth="1"/>
    <col min="98" max="98" style="21693" width="10.57421875"/>
    <col min="120" max="120" style="74" width="10.57421875" hidden="1"/>
    <col min="121" max="121" style="16635" width="4.7109375" customWidth="1"/>
    <col min="122" max="122" style="16635" width="115.7109375" customWidth="1"/>
    <col min="123" max="124" style="16622" width="10.57421875"/>
    <col min="125" max="125" style="16622" width="11.140625" customWidth="1"/>
    <col min="126" max="127" style="16622" width="10.57421875"/>
  </cols>
  <sheetData>
    <row customHeight="1" ht="14.25" hidden="1">
      <c r="AC1" s="549"/>
      <c r="AN1" s="549"/>
      <c r="AR1" s="6445"/>
      <c r="AS1" s="6445"/>
      <c r="AT1" s="6445"/>
      <c r="AU1" s="6445"/>
      <c r="AV1" s="6445"/>
      <c r="AW1" s="6445"/>
      <c r="AX1" s="6445"/>
      <c r="AY1" s="6445"/>
      <c r="AZ1" s="6445"/>
      <c r="BA1" s="6445"/>
      <c r="BB1" s="6445"/>
      <c r="BC1" s="6445"/>
      <c r="BD1" s="6445"/>
      <c r="BE1" s="6445"/>
      <c r="BF1" s="6445"/>
      <c r="BG1" s="6445"/>
      <c r="BH1" s="6445"/>
      <c r="BI1" s="6445"/>
      <c r="BJ1" s="6445"/>
      <c r="BK1" s="6445"/>
      <c r="BL1" s="6445"/>
      <c r="BM1" s="6445"/>
      <c r="BN1" s="6445"/>
      <c r="BO1" s="6445"/>
      <c r="BP1" s="6445"/>
      <c r="BQ1" s="6445"/>
      <c r="BR1" s="6445"/>
      <c r="BS1" s="6445"/>
      <c r="BT1" s="6445"/>
      <c r="BU1" s="6445"/>
      <c r="BV1" s="6445"/>
      <c r="BW1" s="6445"/>
      <c r="BX1" s="6445"/>
      <c r="BY1" s="6445"/>
      <c r="BZ1" s="6445"/>
      <c r="CA1" s="6445"/>
      <c r="CB1" s="6445"/>
      <c r="CC1" s="6445"/>
      <c r="CD1" s="6445"/>
      <c r="CE1" s="6445"/>
      <c r="CF1" s="6445"/>
      <c r="CG1" s="6445"/>
      <c r="CH1" s="6445"/>
      <c r="CI1" s="6445"/>
      <c r="CJ1" s="6445"/>
      <c r="CK1" s="6445"/>
      <c r="CL1" s="6445"/>
      <c r="CM1" s="6445"/>
      <c r="CN1" s="6445"/>
      <c r="CO1" s="6445"/>
      <c r="CP1" s="6445"/>
      <c r="CQ1" s="6445"/>
      <c r="CR1" s="6445"/>
      <c r="CS1" s="6445"/>
      <c r="CT1" s="6445"/>
      <c r="CU1" s="9490"/>
      <c r="CV1" s="9490"/>
      <c r="CW1" s="9490"/>
      <c r="CX1" s="9490"/>
      <c r="CY1" s="9490"/>
      <c r="CZ1" s="9490"/>
      <c r="DA1" s="9490"/>
      <c r="DB1" s="9490"/>
      <c r="DC1" s="9490"/>
      <c r="DD1" s="9490"/>
      <c r="DE1" s="9490"/>
      <c r="DF1" s="9490"/>
      <c r="DG1" s="9490"/>
      <c r="DH1" s="9490"/>
      <c r="DI1" s="9490"/>
      <c r="DJ1" s="9490"/>
      <c r="DK1" s="9490"/>
      <c r="DL1" s="9490"/>
      <c r="DM1" s="9490"/>
      <c r="DN1" s="9490"/>
      <c r="DO1" s="9490"/>
      <c r="DP1" s="9490"/>
    </row>
    <row customHeight="1" ht="23.25" hidden="1">
      <c r="A2" s="1590"/>
      <c r="B2" s="1590"/>
      <c r="C2" s="1590"/>
      <c r="D2" s="1590"/>
      <c r="E2" s="2388">
        <v>1</v>
      </c>
      <c r="F2" s="1590"/>
      <c r="G2" s="1590"/>
      <c r="H2" s="1590"/>
      <c r="I2" s="1590"/>
      <c r="J2" s="1590"/>
      <c r="K2" s="1590"/>
      <c r="L2" s="1591"/>
      <c r="M2" s="1592"/>
      <c r="N2" s="1592"/>
      <c r="O2" s="1592"/>
      <c r="P2" s="583"/>
      <c r="Q2" s="582"/>
      <c r="R2" s="577"/>
      <c r="S2" s="1720">
        <f>INDEX(PT_DIFFERENTIATION_NUM_NTAR,MATCH(A2,PT_DIFFERENTIATION_NTAR_ID,0))</f>
      </c>
      <c r="T2" s="520" t="s">
        <v>179</v>
      </c>
      <c r="U2" s="522"/>
      <c r="V2" s="2382"/>
      <c r="W2" s="2383"/>
      <c r="X2" s="2383"/>
      <c r="Y2" s="2383"/>
      <c r="Z2" s="2383"/>
      <c r="AA2" s="2383"/>
      <c r="AB2" s="2383"/>
      <c r="AC2" s="2383"/>
      <c r="AD2" s="2383"/>
      <c r="AE2" s="2383"/>
      <c r="AF2" s="2384"/>
      <c r="AG2" s="2382">
        <f>INDEX(PT_DIFFERENTIATION_NTAR,MATCH(A2,PT_DIFFERENTIATION_NTAR_ID,0))</f>
      </c>
      <c r="AH2" s="2383"/>
      <c r="AI2" s="2383"/>
      <c r="AJ2" s="2383"/>
      <c r="AK2" s="2383"/>
      <c r="AL2" s="2383"/>
      <c r="AM2" s="2383"/>
      <c r="AN2" s="2383"/>
      <c r="AO2" s="2383"/>
      <c r="AP2" s="2383"/>
      <c r="AQ2" s="2383"/>
      <c r="AR2" s="6446"/>
      <c r="AS2" s="6447"/>
      <c r="AT2" s="6447"/>
      <c r="AU2" s="6447"/>
      <c r="AV2" s="6447"/>
      <c r="AW2" s="6447"/>
      <c r="AX2" s="6447"/>
      <c r="AY2" s="6447"/>
      <c r="AZ2" s="6447"/>
      <c r="BA2" s="6447"/>
      <c r="BB2" s="6448"/>
      <c r="BC2" s="6446"/>
      <c r="BD2" s="6447"/>
      <c r="BE2" s="6447"/>
      <c r="BF2" s="6447"/>
      <c r="BG2" s="6447"/>
      <c r="BH2" s="6447"/>
      <c r="BI2" s="6447"/>
      <c r="BJ2" s="6447"/>
      <c r="BK2" s="6447"/>
      <c r="BL2" s="6447"/>
      <c r="BM2" s="6448"/>
      <c r="BN2" s="6446"/>
      <c r="BO2" s="6447"/>
      <c r="BP2" s="6447"/>
      <c r="BQ2" s="6447"/>
      <c r="BR2" s="6447"/>
      <c r="BS2" s="6447"/>
      <c r="BT2" s="6447"/>
      <c r="BU2" s="6447"/>
      <c r="BV2" s="6447"/>
      <c r="BW2" s="6447"/>
      <c r="BX2" s="6448"/>
      <c r="BY2" s="6446"/>
      <c r="BZ2" s="6447"/>
      <c r="CA2" s="6447"/>
      <c r="CB2" s="6447"/>
      <c r="CC2" s="6447"/>
      <c r="CD2" s="6447"/>
      <c r="CE2" s="6447"/>
      <c r="CF2" s="6447"/>
      <c r="CG2" s="6447"/>
      <c r="CH2" s="6447"/>
      <c r="CI2" s="6448"/>
      <c r="CJ2" s="6446"/>
      <c r="CK2" s="6447"/>
      <c r="CL2" s="6447"/>
      <c r="CM2" s="6447"/>
      <c r="CN2" s="6447"/>
      <c r="CO2" s="6447"/>
      <c r="CP2" s="6447"/>
      <c r="CQ2" s="6447"/>
      <c r="CR2" s="6447"/>
      <c r="CS2" s="6447"/>
      <c r="CT2" s="6448"/>
      <c r="CU2" s="9494"/>
      <c r="CV2" s="9495"/>
      <c r="CW2" s="9495"/>
      <c r="CX2" s="9495"/>
      <c r="CY2" s="9495"/>
      <c r="CZ2" s="9495"/>
      <c r="DA2" s="9495"/>
      <c r="DB2" s="9495"/>
      <c r="DC2" s="9495"/>
      <c r="DD2" s="9495"/>
      <c r="DE2" s="9496"/>
      <c r="DF2" s="9494"/>
      <c r="DG2" s="9495"/>
      <c r="DH2" s="9495"/>
      <c r="DI2" s="9495"/>
      <c r="DJ2" s="9495"/>
      <c r="DK2" s="9495"/>
      <c r="DL2" s="9495"/>
      <c r="DM2" s="9495"/>
      <c r="DN2" s="9495"/>
      <c r="DO2" s="9495"/>
      <c r="DP2" s="9496"/>
      <c r="DQ2" s="2384"/>
      <c r="DR2" s="14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DT2" s="722"/>
      <c r="DU2" s="722" t="str">
        <f>IF(T2="","",T2)</f>
        <v>Наименование тарифа</v>
      </c>
      <c r="DV2" s="722"/>
      <c r="DW2" s="722"/>
    </row>
    <row customHeight="1" ht="23.25" hidden="1">
      <c r="A3" s="1590"/>
      <c r="B3" s="1590"/>
      <c r="C3" s="1590"/>
      <c r="D3" s="1590"/>
      <c r="E3" s="2389"/>
      <c r="F3" s="2388">
        <v>1</v>
      </c>
      <c r="G3" s="1590"/>
      <c r="H3" s="1590"/>
      <c r="I3" s="1590"/>
      <c r="J3" s="1590"/>
      <c r="K3" s="1590"/>
      <c r="L3" s="1591"/>
      <c r="M3" s="1592"/>
      <c r="N3" s="1592"/>
      <c r="O3" s="1592"/>
      <c r="P3" s="1714"/>
      <c r="Q3" s="574"/>
      <c r="R3" s="575"/>
      <c r="S3" s="1720">
        <f>INDEX(PT_DIFFERENTIATION_NUM_TER,MATCH(B3,PT_DIFFERENTIATION_TER_ID,0))</f>
      </c>
      <c r="T3" s="530" t="s">
        <v>503</v>
      </c>
      <c r="U3" s="522"/>
      <c r="V3" s="2382"/>
      <c r="W3" s="2383"/>
      <c r="X3" s="2383"/>
      <c r="Y3" s="2383"/>
      <c r="Z3" s="2383"/>
      <c r="AA3" s="2383"/>
      <c r="AB3" s="2383"/>
      <c r="AC3" s="2383"/>
      <c r="AD3" s="2383"/>
      <c r="AE3" s="2383"/>
      <c r="AF3" s="2384"/>
      <c r="AG3" s="2382">
        <f>INDEX(PT_DIFFERENTIATION_TER,MATCH(B3,PT_DIFFERENTIATION_TER_ID,0))</f>
      </c>
      <c r="AH3" s="2383"/>
      <c r="AI3" s="2383"/>
      <c r="AJ3" s="2383"/>
      <c r="AK3" s="2383"/>
      <c r="AL3" s="2383"/>
      <c r="AM3" s="2383"/>
      <c r="AN3" s="2383"/>
      <c r="AO3" s="2383"/>
      <c r="AP3" s="2383"/>
      <c r="AQ3" s="2383"/>
      <c r="AR3" s="6446"/>
      <c r="AS3" s="6447"/>
      <c r="AT3" s="6447"/>
      <c r="AU3" s="6447"/>
      <c r="AV3" s="6447"/>
      <c r="AW3" s="6447"/>
      <c r="AX3" s="6447"/>
      <c r="AY3" s="6447"/>
      <c r="AZ3" s="6447"/>
      <c r="BA3" s="6447"/>
      <c r="BB3" s="6448"/>
      <c r="BC3" s="6446"/>
      <c r="BD3" s="6447"/>
      <c r="BE3" s="6447"/>
      <c r="BF3" s="6447"/>
      <c r="BG3" s="6447"/>
      <c r="BH3" s="6447"/>
      <c r="BI3" s="6447"/>
      <c r="BJ3" s="6447"/>
      <c r="BK3" s="6447"/>
      <c r="BL3" s="6447"/>
      <c r="BM3" s="6448"/>
      <c r="BN3" s="6446"/>
      <c r="BO3" s="6447"/>
      <c r="BP3" s="6447"/>
      <c r="BQ3" s="6447"/>
      <c r="BR3" s="6447"/>
      <c r="BS3" s="6447"/>
      <c r="BT3" s="6447"/>
      <c r="BU3" s="6447"/>
      <c r="BV3" s="6447"/>
      <c r="BW3" s="6447"/>
      <c r="BX3" s="6448"/>
      <c r="BY3" s="6446"/>
      <c r="BZ3" s="6447"/>
      <c r="CA3" s="6447"/>
      <c r="CB3" s="6447"/>
      <c r="CC3" s="6447"/>
      <c r="CD3" s="6447"/>
      <c r="CE3" s="6447"/>
      <c r="CF3" s="6447"/>
      <c r="CG3" s="6447"/>
      <c r="CH3" s="6447"/>
      <c r="CI3" s="6448"/>
      <c r="CJ3" s="6446"/>
      <c r="CK3" s="6447"/>
      <c r="CL3" s="6447"/>
      <c r="CM3" s="6447"/>
      <c r="CN3" s="6447"/>
      <c r="CO3" s="6447"/>
      <c r="CP3" s="6447"/>
      <c r="CQ3" s="6447"/>
      <c r="CR3" s="6447"/>
      <c r="CS3" s="6447"/>
      <c r="CT3" s="6448"/>
      <c r="CU3" s="9494"/>
      <c r="CV3" s="9495"/>
      <c r="CW3" s="9495"/>
      <c r="CX3" s="9495"/>
      <c r="CY3" s="9495"/>
      <c r="CZ3" s="9495"/>
      <c r="DA3" s="9495"/>
      <c r="DB3" s="9495"/>
      <c r="DC3" s="9495"/>
      <c r="DD3" s="9495"/>
      <c r="DE3" s="9496"/>
      <c r="DF3" s="9494"/>
      <c r="DG3" s="9495"/>
      <c r="DH3" s="9495"/>
      <c r="DI3" s="9495"/>
      <c r="DJ3" s="9495"/>
      <c r="DK3" s="9495"/>
      <c r="DL3" s="9495"/>
      <c r="DM3" s="9495"/>
      <c r="DN3" s="9495"/>
      <c r="DO3" s="9495"/>
      <c r="DP3" s="9496"/>
      <c r="DQ3" s="2384"/>
      <c r="DR3" s="1484" t="s">
        <v>504</v>
      </c>
      <c r="DT3" s="722"/>
      <c r="DU3" s="722" t="str">
        <f>IF(T3="","",T3)</f>
        <v>Территория действия тарифа</v>
      </c>
      <c r="DV3" s="722"/>
      <c r="DW3" s="722"/>
    </row>
    <row customHeight="1" ht="23.25" hidden="1">
      <c r="A4" s="1590"/>
      <c r="B4" s="1590"/>
      <c r="C4" s="1590"/>
      <c r="D4" s="1590"/>
      <c r="E4" s="2389"/>
      <c r="F4" s="2389"/>
      <c r="G4" s="2388">
        <v>1</v>
      </c>
      <c r="H4" s="1590"/>
      <c r="I4" s="1590"/>
      <c r="J4" s="1590"/>
      <c r="K4" s="1590"/>
      <c r="L4" s="1591"/>
      <c r="M4" s="1592"/>
      <c r="N4" s="1592"/>
      <c r="O4" s="1592"/>
      <c r="P4" s="576"/>
      <c r="Q4" s="574"/>
      <c r="R4" s="575"/>
      <c r="S4" s="1720">
        <f>INDEX(PT_DIFFERENTIATION_NUM_CS,MATCH(C4,PT_DIFFERENTIATION_CS_ID,0))</f>
      </c>
      <c r="T4" s="531" t="s">
        <v>634</v>
      </c>
      <c r="U4" s="522"/>
      <c r="V4" s="2382"/>
      <c r="W4" s="2383"/>
      <c r="X4" s="2383"/>
      <c r="Y4" s="2383"/>
      <c r="Z4" s="2383"/>
      <c r="AA4" s="2383"/>
      <c r="AB4" s="2383"/>
      <c r="AC4" s="2383"/>
      <c r="AD4" s="2383"/>
      <c r="AE4" s="2383"/>
      <c r="AF4" s="2384"/>
      <c r="AG4" s="2382">
        <f>INDEX(PT_DIFFERENTIATION_CS,MATCH(C4,PT_DIFFERENTIATION_CS_ID,0))</f>
      </c>
      <c r="AH4" s="2383"/>
      <c r="AI4" s="2383"/>
      <c r="AJ4" s="2383"/>
      <c r="AK4" s="2383"/>
      <c r="AL4" s="2383"/>
      <c r="AM4" s="2383"/>
      <c r="AN4" s="2383"/>
      <c r="AO4" s="2383"/>
      <c r="AP4" s="2383"/>
      <c r="AQ4" s="2383"/>
      <c r="AR4" s="6446"/>
      <c r="AS4" s="6447"/>
      <c r="AT4" s="6447"/>
      <c r="AU4" s="6447"/>
      <c r="AV4" s="6447"/>
      <c r="AW4" s="6447"/>
      <c r="AX4" s="6447"/>
      <c r="AY4" s="6447"/>
      <c r="AZ4" s="6447"/>
      <c r="BA4" s="6447"/>
      <c r="BB4" s="6448"/>
      <c r="BC4" s="6446"/>
      <c r="BD4" s="6447"/>
      <c r="BE4" s="6447"/>
      <c r="BF4" s="6447"/>
      <c r="BG4" s="6447"/>
      <c r="BH4" s="6447"/>
      <c r="BI4" s="6447"/>
      <c r="BJ4" s="6447"/>
      <c r="BK4" s="6447"/>
      <c r="BL4" s="6447"/>
      <c r="BM4" s="6448"/>
      <c r="BN4" s="6446"/>
      <c r="BO4" s="6447"/>
      <c r="BP4" s="6447"/>
      <c r="BQ4" s="6447"/>
      <c r="BR4" s="6447"/>
      <c r="BS4" s="6447"/>
      <c r="BT4" s="6447"/>
      <c r="BU4" s="6447"/>
      <c r="BV4" s="6447"/>
      <c r="BW4" s="6447"/>
      <c r="BX4" s="6448"/>
      <c r="BY4" s="6446"/>
      <c r="BZ4" s="6447"/>
      <c r="CA4" s="6447"/>
      <c r="CB4" s="6447"/>
      <c r="CC4" s="6447"/>
      <c r="CD4" s="6447"/>
      <c r="CE4" s="6447"/>
      <c r="CF4" s="6447"/>
      <c r="CG4" s="6447"/>
      <c r="CH4" s="6447"/>
      <c r="CI4" s="6448"/>
      <c r="CJ4" s="6446"/>
      <c r="CK4" s="6447"/>
      <c r="CL4" s="6447"/>
      <c r="CM4" s="6447"/>
      <c r="CN4" s="6447"/>
      <c r="CO4" s="6447"/>
      <c r="CP4" s="6447"/>
      <c r="CQ4" s="6447"/>
      <c r="CR4" s="6447"/>
      <c r="CS4" s="6447"/>
      <c r="CT4" s="6448"/>
      <c r="CU4" s="9494"/>
      <c r="CV4" s="9495"/>
      <c r="CW4" s="9495"/>
      <c r="CX4" s="9495"/>
      <c r="CY4" s="9495"/>
      <c r="CZ4" s="9495"/>
      <c r="DA4" s="9495"/>
      <c r="DB4" s="9495"/>
      <c r="DC4" s="9495"/>
      <c r="DD4" s="9495"/>
      <c r="DE4" s="9496"/>
      <c r="DF4" s="9494"/>
      <c r="DG4" s="9495"/>
      <c r="DH4" s="9495"/>
      <c r="DI4" s="9495"/>
      <c r="DJ4" s="9495"/>
      <c r="DK4" s="9495"/>
      <c r="DL4" s="9495"/>
      <c r="DM4" s="9495"/>
      <c r="DN4" s="9495"/>
      <c r="DO4" s="9495"/>
      <c r="DP4" s="9496"/>
      <c r="DQ4" s="2384"/>
      <c r="DR4" s="1484" t="s">
        <v>635</v>
      </c>
      <c r="DT4" s="722"/>
      <c r="DU4" s="722" t="str">
        <f>IF(T4="","",T4)</f>
        <v>Наименование централизованной системы горячего водоснабжения</v>
      </c>
      <c r="DV4" s="722"/>
      <c r="DW4" s="722"/>
    </row>
    <row customHeight="1" ht="23.25" hidden="1">
      <c r="A5" s="1590"/>
      <c r="B5" s="1590"/>
      <c r="C5" s="1590"/>
      <c r="D5" s="1590"/>
      <c r="E5" s="2389"/>
      <c r="F5" s="2389"/>
      <c r="G5" s="2389"/>
      <c r="H5" s="2389"/>
      <c r="I5" s="2390">
        <f>S4&amp;".1"</f>
      </c>
      <c r="J5" s="1590"/>
      <c r="K5" s="1590"/>
      <c r="L5" s="1591"/>
      <c r="P5" s="2392">
        <v>1</v>
      </c>
      <c r="Q5" s="1708"/>
      <c r="R5" s="578"/>
      <c r="S5" s="1720">
        <f>$I5</f>
      </c>
      <c r="T5" s="507" t="s">
        <v>587</v>
      </c>
      <c r="U5" s="522"/>
      <c r="V5" s="2475"/>
      <c r="W5" s="2476"/>
      <c r="X5" s="2476"/>
      <c r="Y5" s="2476"/>
      <c r="Z5" s="2476"/>
      <c r="AA5" s="2476"/>
      <c r="AB5" s="2476"/>
      <c r="AC5" s="2476"/>
      <c r="AD5" s="2476"/>
      <c r="AE5" s="2476"/>
      <c r="AF5" s="2477"/>
      <c r="AG5" s="2478"/>
      <c r="AH5" s="2479"/>
      <c r="AI5" s="2479"/>
      <c r="AJ5" s="2479"/>
      <c r="AK5" s="2479"/>
      <c r="AL5" s="2479"/>
      <c r="AM5" s="2479"/>
      <c r="AN5" s="2479"/>
      <c r="AO5" s="2479"/>
      <c r="AP5" s="2479"/>
      <c r="AQ5" s="2479"/>
      <c r="AR5" s="6449"/>
      <c r="AS5" s="6450"/>
      <c r="AT5" s="6450"/>
      <c r="AU5" s="6450"/>
      <c r="AV5" s="6450"/>
      <c r="AW5" s="6450"/>
      <c r="AX5" s="6450"/>
      <c r="AY5" s="6450"/>
      <c r="AZ5" s="6450"/>
      <c r="BA5" s="6450"/>
      <c r="BB5" s="6451"/>
      <c r="BC5" s="6449"/>
      <c r="BD5" s="6450"/>
      <c r="BE5" s="6450"/>
      <c r="BF5" s="6450"/>
      <c r="BG5" s="6450"/>
      <c r="BH5" s="6450"/>
      <c r="BI5" s="6450"/>
      <c r="BJ5" s="6450"/>
      <c r="BK5" s="6450"/>
      <c r="BL5" s="6450"/>
      <c r="BM5" s="6451"/>
      <c r="BN5" s="6449"/>
      <c r="BO5" s="6450"/>
      <c r="BP5" s="6450"/>
      <c r="BQ5" s="6450"/>
      <c r="BR5" s="6450"/>
      <c r="BS5" s="6450"/>
      <c r="BT5" s="6450"/>
      <c r="BU5" s="6450"/>
      <c r="BV5" s="6450"/>
      <c r="BW5" s="6450"/>
      <c r="BX5" s="6451"/>
      <c r="BY5" s="6449"/>
      <c r="BZ5" s="6450"/>
      <c r="CA5" s="6450"/>
      <c r="CB5" s="6450"/>
      <c r="CC5" s="6450"/>
      <c r="CD5" s="6450"/>
      <c r="CE5" s="6450"/>
      <c r="CF5" s="6450"/>
      <c r="CG5" s="6450"/>
      <c r="CH5" s="6450"/>
      <c r="CI5" s="6451"/>
      <c r="CJ5" s="6449"/>
      <c r="CK5" s="6450"/>
      <c r="CL5" s="6450"/>
      <c r="CM5" s="6450"/>
      <c r="CN5" s="6450"/>
      <c r="CO5" s="6450"/>
      <c r="CP5" s="6450"/>
      <c r="CQ5" s="6450"/>
      <c r="CR5" s="6450"/>
      <c r="CS5" s="6450"/>
      <c r="CT5" s="6451"/>
      <c r="CU5" s="9500"/>
      <c r="CV5" s="9501"/>
      <c r="CW5" s="9501"/>
      <c r="CX5" s="9501"/>
      <c r="CY5" s="9501"/>
      <c r="CZ5" s="9501"/>
      <c r="DA5" s="9501"/>
      <c r="DB5" s="9501"/>
      <c r="DC5" s="9501"/>
      <c r="DD5" s="9501"/>
      <c r="DE5" s="9502"/>
      <c r="DF5" s="9500"/>
      <c r="DG5" s="9501"/>
      <c r="DH5" s="9501"/>
      <c r="DI5" s="9501"/>
      <c r="DJ5" s="9501"/>
      <c r="DK5" s="9501"/>
      <c r="DL5" s="9501"/>
      <c r="DM5" s="9501"/>
      <c r="DN5" s="9501"/>
      <c r="DO5" s="9501"/>
      <c r="DP5" s="9502"/>
      <c r="DQ5" s="2480"/>
      <c r="DR5" s="1484" t="s">
        <v>588</v>
      </c>
      <c r="DT5" s="722"/>
      <c r="DU5" s="722" t="str">
        <f>IF(T5="","",T5)</f>
        <v>Наименование признака дифференциации</v>
      </c>
      <c r="DV5" s="722"/>
      <c r="DW5" s="722"/>
    </row>
    <row customHeight="1" ht="23.25" hidden="1">
      <c r="A6" s="1590"/>
      <c r="B6" s="1590"/>
      <c r="C6" s="1590"/>
      <c r="D6" s="1590"/>
      <c r="E6" s="2389"/>
      <c r="F6" s="2389"/>
      <c r="G6" s="2389"/>
      <c r="H6" s="2389"/>
      <c r="I6" s="2391"/>
      <c r="J6" s="2390">
        <f>I5&amp;".1"</f>
      </c>
      <c r="K6" s="1590"/>
      <c r="L6" s="1591" t="s">
        <v>512</v>
      </c>
      <c r="P6" s="2392"/>
      <c r="Q6" s="2392">
        <v>1</v>
      </c>
      <c r="R6" s="579"/>
      <c r="S6" s="1720">
        <f>$J6</f>
      </c>
      <c r="T6" s="508" t="s">
        <v>513</v>
      </c>
      <c r="U6" s="522"/>
      <c r="V6" s="2376"/>
      <c r="W6" s="2377"/>
      <c r="X6" s="2377"/>
      <c r="Y6" s="2377"/>
      <c r="Z6" s="2377"/>
      <c r="AA6" s="2377"/>
      <c r="AB6" s="2377"/>
      <c r="AC6" s="2377"/>
      <c r="AD6" s="2377"/>
      <c r="AE6" s="2377"/>
      <c r="AF6" s="2378"/>
      <c r="AG6" s="2376"/>
      <c r="AH6" s="2377"/>
      <c r="AI6" s="2377"/>
      <c r="AJ6" s="2377"/>
      <c r="AK6" s="2377"/>
      <c r="AL6" s="2377"/>
      <c r="AM6" s="2377"/>
      <c r="AN6" s="2377"/>
      <c r="AO6" s="2377"/>
      <c r="AP6" s="2377"/>
      <c r="AQ6" s="2377"/>
      <c r="AR6" s="6452"/>
      <c r="AS6" s="6453"/>
      <c r="AT6" s="6453"/>
      <c r="AU6" s="6453"/>
      <c r="AV6" s="6453"/>
      <c r="AW6" s="6453"/>
      <c r="AX6" s="6453"/>
      <c r="AY6" s="6453"/>
      <c r="AZ6" s="6453"/>
      <c r="BA6" s="6453"/>
      <c r="BB6" s="6454"/>
      <c r="BC6" s="6452"/>
      <c r="BD6" s="6453"/>
      <c r="BE6" s="6453"/>
      <c r="BF6" s="6453"/>
      <c r="BG6" s="6453"/>
      <c r="BH6" s="6453"/>
      <c r="BI6" s="6453"/>
      <c r="BJ6" s="6453"/>
      <c r="BK6" s="6453"/>
      <c r="BL6" s="6453"/>
      <c r="BM6" s="6454"/>
      <c r="BN6" s="6452"/>
      <c r="BO6" s="6453"/>
      <c r="BP6" s="6453"/>
      <c r="BQ6" s="6453"/>
      <c r="BR6" s="6453"/>
      <c r="BS6" s="6453"/>
      <c r="BT6" s="6453"/>
      <c r="BU6" s="6453"/>
      <c r="BV6" s="6453"/>
      <c r="BW6" s="6453"/>
      <c r="BX6" s="6454"/>
      <c r="BY6" s="6452"/>
      <c r="BZ6" s="6453"/>
      <c r="CA6" s="6453"/>
      <c r="CB6" s="6453"/>
      <c r="CC6" s="6453"/>
      <c r="CD6" s="6453"/>
      <c r="CE6" s="6453"/>
      <c r="CF6" s="6453"/>
      <c r="CG6" s="6453"/>
      <c r="CH6" s="6453"/>
      <c r="CI6" s="6454"/>
      <c r="CJ6" s="6452"/>
      <c r="CK6" s="6453"/>
      <c r="CL6" s="6453"/>
      <c r="CM6" s="6453"/>
      <c r="CN6" s="6453"/>
      <c r="CO6" s="6453"/>
      <c r="CP6" s="6453"/>
      <c r="CQ6" s="6453"/>
      <c r="CR6" s="6453"/>
      <c r="CS6" s="6453"/>
      <c r="CT6" s="6454"/>
      <c r="CU6" s="9506"/>
      <c r="CV6" s="9507"/>
      <c r="CW6" s="9507"/>
      <c r="CX6" s="9507"/>
      <c r="CY6" s="9507"/>
      <c r="CZ6" s="9507"/>
      <c r="DA6" s="9507"/>
      <c r="DB6" s="9507"/>
      <c r="DC6" s="9507"/>
      <c r="DD6" s="9507"/>
      <c r="DE6" s="9508"/>
      <c r="DF6" s="9506"/>
      <c r="DG6" s="9507"/>
      <c r="DH6" s="9507"/>
      <c r="DI6" s="9507"/>
      <c r="DJ6" s="9507"/>
      <c r="DK6" s="9507"/>
      <c r="DL6" s="9507"/>
      <c r="DM6" s="9507"/>
      <c r="DN6" s="9507"/>
      <c r="DO6" s="9507"/>
      <c r="DP6" s="9508"/>
      <c r="DQ6" s="2378"/>
      <c r="DR6" s="1534" t="s">
        <v>589</v>
      </c>
      <c r="DT6" s="722"/>
      <c r="DU6" s="722" t="str">
        <f>IF(T6="","",T6)</f>
        <v>Группа потребителей</v>
      </c>
      <c r="DV6" s="722"/>
      <c r="DW6" s="722"/>
    </row>
    <row customHeight="1" ht="23.25" hidden="1">
      <c r="A7" s="1590"/>
      <c r="B7" s="1590"/>
      <c r="C7" s="1590"/>
      <c r="D7" s="1590"/>
      <c r="E7" s="2389"/>
      <c r="F7" s="2389"/>
      <c r="G7" s="2389"/>
      <c r="H7" s="2389"/>
      <c r="I7" s="2391"/>
      <c r="J7" s="2391"/>
      <c r="K7" s="2390">
        <f>J6&amp;".1"</f>
      </c>
      <c r="L7" s="1591"/>
      <c r="P7" s="2392"/>
      <c r="Q7" s="2392"/>
      <c r="R7" s="579">
        <v>1</v>
      </c>
      <c r="S7" s="1720">
        <f>$K7</f>
      </c>
      <c r="T7" s="1664"/>
      <c r="U7" s="522"/>
      <c r="V7" s="973"/>
      <c r="W7" s="973"/>
      <c r="X7" s="973"/>
      <c r="Y7" s="973"/>
      <c r="Z7" s="973"/>
      <c r="AA7" s="973"/>
      <c r="AB7" s="973"/>
      <c r="AC7" s="2393"/>
      <c r="AD7" s="2263" t="s">
        <v>63</v>
      </c>
      <c r="AE7" s="2393"/>
      <c r="AF7" s="2263" t="s">
        <v>63</v>
      </c>
      <c r="AG7" s="973"/>
      <c r="AH7" s="973"/>
      <c r="AI7" s="973"/>
      <c r="AJ7" s="973"/>
      <c r="AK7" s="973"/>
      <c r="AL7" s="973"/>
      <c r="AM7" s="973"/>
      <c r="AN7" s="2393"/>
      <c r="AO7" s="2263" t="s">
        <v>63</v>
      </c>
      <c r="AP7" s="2395"/>
      <c r="AQ7" s="2263" t="s">
        <v>63</v>
      </c>
      <c r="AR7" s="6455"/>
      <c r="AS7" s="6455"/>
      <c r="AT7" s="6455"/>
      <c r="AU7" s="6455"/>
      <c r="AV7" s="6455"/>
      <c r="AW7" s="6455"/>
      <c r="AX7" s="6455"/>
      <c r="AY7" s="6456"/>
      <c r="AZ7" s="6457" t="s">
        <v>63</v>
      </c>
      <c r="BA7" s="6456"/>
      <c r="BB7" s="6457" t="s">
        <v>63</v>
      </c>
      <c r="BC7" s="6455"/>
      <c r="BD7" s="6455"/>
      <c r="BE7" s="6455"/>
      <c r="BF7" s="6455"/>
      <c r="BG7" s="6455"/>
      <c r="BH7" s="6455"/>
      <c r="BI7" s="6455"/>
      <c r="BJ7" s="6456"/>
      <c r="BK7" s="6457" t="s">
        <v>63</v>
      </c>
      <c r="BL7" s="6456"/>
      <c r="BM7" s="6457" t="s">
        <v>63</v>
      </c>
      <c r="BN7" s="6455"/>
      <c r="BO7" s="6455"/>
      <c r="BP7" s="6455"/>
      <c r="BQ7" s="6455"/>
      <c r="BR7" s="6455"/>
      <c r="BS7" s="6455"/>
      <c r="BT7" s="6455"/>
      <c r="BU7" s="6456"/>
      <c r="BV7" s="6457" t="s">
        <v>63</v>
      </c>
      <c r="BW7" s="6456"/>
      <c r="BX7" s="6457" t="s">
        <v>63</v>
      </c>
      <c r="BY7" s="6455"/>
      <c r="BZ7" s="6455"/>
      <c r="CA7" s="6455"/>
      <c r="CB7" s="6455"/>
      <c r="CC7" s="6455"/>
      <c r="CD7" s="6455"/>
      <c r="CE7" s="6455"/>
      <c r="CF7" s="6456"/>
      <c r="CG7" s="6457" t="s">
        <v>63</v>
      </c>
      <c r="CH7" s="6456"/>
      <c r="CI7" s="6457" t="s">
        <v>63</v>
      </c>
      <c r="CJ7" s="6455"/>
      <c r="CK7" s="6455"/>
      <c r="CL7" s="6455"/>
      <c r="CM7" s="6455"/>
      <c r="CN7" s="6455"/>
      <c r="CO7" s="6455"/>
      <c r="CP7" s="6455"/>
      <c r="CQ7" s="6456"/>
      <c r="CR7" s="6457" t="s">
        <v>63</v>
      </c>
      <c r="CS7" s="6456"/>
      <c r="CT7" s="6457" t="s">
        <v>63</v>
      </c>
      <c r="CU7" s="9512"/>
      <c r="CV7" s="9512"/>
      <c r="CW7" s="9512"/>
      <c r="CX7" s="9512"/>
      <c r="CY7" s="9512"/>
      <c r="CZ7" s="9512"/>
      <c r="DA7" s="9512"/>
      <c r="DB7" s="9513"/>
      <c r="DC7" s="9514" t="s">
        <v>63</v>
      </c>
      <c r="DD7" s="9513"/>
      <c r="DE7" s="9514" t="s">
        <v>63</v>
      </c>
      <c r="DF7" s="9512"/>
      <c r="DG7" s="9512"/>
      <c r="DH7" s="9512"/>
      <c r="DI7" s="9512"/>
      <c r="DJ7" s="9512"/>
      <c r="DK7" s="9512"/>
      <c r="DL7" s="9512"/>
      <c r="DM7" s="9513"/>
      <c r="DN7" s="9514" t="s">
        <v>63</v>
      </c>
      <c r="DO7" s="9513"/>
      <c r="DP7" s="9514" t="s">
        <v>63</v>
      </c>
      <c r="DQ7" s="1665"/>
      <c r="DR7" s="24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S7" s="733">
        <f>STRCHECKDATE(V8:DQ8)</f>
      </c>
      <c r="DT7" s="722"/>
      <c r="DU7" s="722" t="str">
        <f>IF(T7="","",T7)</f>
        <v/>
      </c>
      <c r="DV7" s="722"/>
      <c r="DW7" s="722"/>
    </row>
    <row customHeight="1" ht="14.25" hidden="1">
      <c r="A8" s="1590"/>
      <c r="B8" s="1590"/>
      <c r="C8" s="1590"/>
      <c r="D8" s="1590"/>
      <c r="E8" s="2389"/>
      <c r="F8" s="2389"/>
      <c r="G8" s="2389"/>
      <c r="H8" s="2389"/>
      <c r="I8" s="2391"/>
      <c r="J8" s="2391"/>
      <c r="K8" s="2390"/>
      <c r="L8" s="1591"/>
      <c r="P8" s="2392"/>
      <c r="Q8" s="2392"/>
      <c r="R8" s="579"/>
      <c r="S8" s="1717"/>
      <c r="T8" s="522"/>
      <c r="U8" s="522"/>
      <c r="V8" s="547"/>
      <c r="W8" s="547"/>
      <c r="X8" s="547"/>
      <c r="Y8" s="547"/>
      <c r="Z8" s="547"/>
      <c r="AA8" s="547"/>
      <c r="AB8" s="547"/>
      <c r="AC8" s="2394"/>
      <c r="AD8" s="2263"/>
      <c r="AE8" s="2394"/>
      <c r="AF8" s="2263"/>
      <c r="AG8" s="547"/>
      <c r="AH8" s="547"/>
      <c r="AI8" s="547"/>
      <c r="AJ8" s="547"/>
      <c r="AK8" s="547"/>
      <c r="AL8" s="547"/>
      <c r="AM8" s="547"/>
      <c r="AN8" s="2394"/>
      <c r="AO8" s="2263"/>
      <c r="AP8" s="2396"/>
      <c r="AQ8" s="2263"/>
      <c r="AR8" s="6458"/>
      <c r="AS8" s="6458"/>
      <c r="AT8" s="6458"/>
      <c r="AU8" s="6458"/>
      <c r="AV8" s="6458"/>
      <c r="AW8" s="6458"/>
      <c r="AX8" s="6458"/>
      <c r="AY8" s="6459"/>
      <c r="AZ8" s="6457"/>
      <c r="BA8" s="6459"/>
      <c r="BB8" s="6457"/>
      <c r="BC8" s="6458"/>
      <c r="BD8" s="6458"/>
      <c r="BE8" s="6458"/>
      <c r="BF8" s="6458"/>
      <c r="BG8" s="6458"/>
      <c r="BH8" s="6458"/>
      <c r="BI8" s="6458"/>
      <c r="BJ8" s="6459"/>
      <c r="BK8" s="6457"/>
      <c r="BL8" s="6459"/>
      <c r="BM8" s="6457"/>
      <c r="BN8" s="6458"/>
      <c r="BO8" s="6458"/>
      <c r="BP8" s="6458"/>
      <c r="BQ8" s="6458"/>
      <c r="BR8" s="6458"/>
      <c r="BS8" s="6458"/>
      <c r="BT8" s="6458"/>
      <c r="BU8" s="6459"/>
      <c r="BV8" s="6457"/>
      <c r="BW8" s="6459"/>
      <c r="BX8" s="6457"/>
      <c r="BY8" s="6458"/>
      <c r="BZ8" s="6458"/>
      <c r="CA8" s="6458"/>
      <c r="CB8" s="6458"/>
      <c r="CC8" s="6458"/>
      <c r="CD8" s="6458"/>
      <c r="CE8" s="6458"/>
      <c r="CF8" s="6459"/>
      <c r="CG8" s="6457"/>
      <c r="CH8" s="6459"/>
      <c r="CI8" s="6457"/>
      <c r="CJ8" s="6458"/>
      <c r="CK8" s="6458"/>
      <c r="CL8" s="6458"/>
      <c r="CM8" s="6458"/>
      <c r="CN8" s="6458"/>
      <c r="CO8" s="6458"/>
      <c r="CP8" s="6458"/>
      <c r="CQ8" s="6459"/>
      <c r="CR8" s="6457"/>
      <c r="CS8" s="6459"/>
      <c r="CT8" s="6457"/>
      <c r="CU8" s="9517"/>
      <c r="CV8" s="9517"/>
      <c r="CW8" s="9517"/>
      <c r="CX8" s="9517"/>
      <c r="CY8" s="9517"/>
      <c r="CZ8" s="9517"/>
      <c r="DA8" s="9517"/>
      <c r="DB8" s="9518"/>
      <c r="DC8" s="9514"/>
      <c r="DD8" s="9518"/>
      <c r="DE8" s="9514"/>
      <c r="DF8" s="9517"/>
      <c r="DG8" s="9517"/>
      <c r="DH8" s="9517"/>
      <c r="DI8" s="9517"/>
      <c r="DJ8" s="9517"/>
      <c r="DK8" s="9517"/>
      <c r="DL8" s="9517"/>
      <c r="DM8" s="9518"/>
      <c r="DN8" s="9514"/>
      <c r="DO8" s="9518"/>
      <c r="DP8" s="9514"/>
      <c r="DQ8" s="1666"/>
      <c r="DR8" s="2481"/>
      <c r="DT8" s="722"/>
      <c r="DU8" s="722" t="str">
        <f>IF(T8="","",T8)</f>
        <v/>
      </c>
      <c r="DV8" s="722"/>
      <c r="DW8" s="722"/>
    </row>
    <row customHeight="1" ht="21" hidden="1">
      <c r="A9" s="1590"/>
      <c r="B9" s="1590"/>
      <c r="C9" s="1590"/>
      <c r="D9" s="1590"/>
      <c r="E9" s="2389"/>
      <c r="F9" s="2389"/>
      <c r="G9" s="2389"/>
      <c r="H9" s="2389"/>
      <c r="I9" s="2391"/>
      <c r="J9" s="2390"/>
      <c r="K9" s="1590"/>
      <c r="L9" s="1591"/>
      <c r="P9" s="2392"/>
      <c r="Q9" s="2392"/>
      <c r="R9" s="578"/>
      <c r="S9" s="1505"/>
      <c r="T9" s="509" t="s">
        <v>590</v>
      </c>
      <c r="U9" s="589"/>
      <c r="V9" s="589"/>
      <c r="W9" s="822"/>
      <c r="X9" s="822"/>
      <c r="Y9" s="822"/>
      <c r="Z9" s="822"/>
      <c r="AA9" s="822"/>
      <c r="AB9" s="822"/>
      <c r="AC9" s="589"/>
      <c r="AD9" s="589"/>
      <c r="AE9" s="589"/>
      <c r="AF9" s="589"/>
      <c r="AG9" s="589"/>
      <c r="AH9" s="822"/>
      <c r="AI9" s="822"/>
      <c r="AJ9" s="822"/>
      <c r="AK9" s="822"/>
      <c r="AL9" s="822"/>
      <c r="AM9" s="589"/>
      <c r="AN9" s="589"/>
      <c r="AO9" s="589"/>
      <c r="AP9" s="589"/>
      <c r="AQ9" s="589"/>
      <c r="AR9" s="6460"/>
      <c r="AS9" s="6461"/>
      <c r="AT9" s="6462"/>
      <c r="AU9" s="6463"/>
      <c r="AV9" s="6464"/>
      <c r="AW9" s="6465"/>
      <c r="AX9" s="6466"/>
      <c r="AY9" s="6467"/>
      <c r="AZ9" s="6468"/>
      <c r="BA9" s="6469"/>
      <c r="BB9" s="6470"/>
      <c r="BC9" s="6471"/>
      <c r="BD9" s="6472"/>
      <c r="BE9" s="6473"/>
      <c r="BF9" s="6474"/>
      <c r="BG9" s="6475"/>
      <c r="BH9" s="6476"/>
      <c r="BI9" s="6477"/>
      <c r="BJ9" s="6478"/>
      <c r="BK9" s="6479"/>
      <c r="BL9" s="6480"/>
      <c r="BM9" s="6481"/>
      <c r="BN9" s="6482"/>
      <c r="BO9" s="6483"/>
      <c r="BP9" s="6484"/>
      <c r="BQ9" s="6485"/>
      <c r="BR9" s="6486"/>
      <c r="BS9" s="6487"/>
      <c r="BT9" s="6488"/>
      <c r="BU9" s="6489"/>
      <c r="BV9" s="6490"/>
      <c r="BW9" s="6491"/>
      <c r="BX9" s="6492"/>
      <c r="BY9" s="6493"/>
      <c r="BZ9" s="6494"/>
      <c r="CA9" s="6495"/>
      <c r="CB9" s="6496"/>
      <c r="CC9" s="6497"/>
      <c r="CD9" s="6498"/>
      <c r="CE9" s="6499"/>
      <c r="CF9" s="6500"/>
      <c r="CG9" s="6501"/>
      <c r="CH9" s="6502"/>
      <c r="CI9" s="6503"/>
      <c r="CJ9" s="6504"/>
      <c r="CK9" s="6505"/>
      <c r="CL9" s="6506"/>
      <c r="CM9" s="6507"/>
      <c r="CN9" s="6508"/>
      <c r="CO9" s="6509"/>
      <c r="CP9" s="6510"/>
      <c r="CQ9" s="6511"/>
      <c r="CR9" s="6512"/>
      <c r="CS9" s="6513"/>
      <c r="CT9" s="6514"/>
      <c r="CU9" s="9574"/>
      <c r="CV9" s="9575"/>
      <c r="CW9" s="9576"/>
      <c r="CX9" s="9577"/>
      <c r="CY9" s="9578"/>
      <c r="CZ9" s="9579"/>
      <c r="DA9" s="9580"/>
      <c r="DB9" s="9581"/>
      <c r="DC9" s="9582"/>
      <c r="DD9" s="9583"/>
      <c r="DE9" s="9584"/>
      <c r="DF9" s="9585"/>
      <c r="DG9" s="9586"/>
      <c r="DH9" s="9587"/>
      <c r="DI9" s="9588"/>
      <c r="DJ9" s="9589"/>
      <c r="DK9" s="9590"/>
      <c r="DL9" s="9591"/>
      <c r="DM9" s="9592"/>
      <c r="DN9" s="9593"/>
      <c r="DO9" s="9594"/>
      <c r="DP9" s="9595"/>
      <c r="DQ9" s="589"/>
      <c r="DR9" s="1484" t="s">
        <v>591</v>
      </c>
      <c r="DT9" s="722"/>
      <c r="DU9" s="722" t="str">
        <f>IF(T9="","",T9)</f>
        <v>Добавить значение признака дифференциации</v>
      </c>
      <c r="DV9" s="722"/>
      <c r="DW9" s="722"/>
    </row>
    <row customHeight="1" ht="21" hidden="1">
      <c r="A10" s="1590"/>
      <c r="B10" s="1590"/>
      <c r="C10" s="1590"/>
      <c r="D10" s="1590"/>
      <c r="E10" s="2389"/>
      <c r="F10" s="2389"/>
      <c r="G10" s="2389"/>
      <c r="H10" s="2389"/>
      <c r="I10" s="2390"/>
      <c r="J10" s="1590"/>
      <c r="K10" s="1590"/>
      <c r="L10" s="1591"/>
      <c r="P10" s="2392"/>
      <c r="Q10" s="1708"/>
      <c r="R10" s="578"/>
      <c r="S10" s="1505"/>
      <c r="T10" s="587" t="s">
        <v>518</v>
      </c>
      <c r="U10" s="589"/>
      <c r="V10" s="589"/>
      <c r="W10" s="822"/>
      <c r="X10" s="822"/>
      <c r="Y10" s="822"/>
      <c r="Z10" s="822"/>
      <c r="AA10" s="822"/>
      <c r="AB10" s="822"/>
      <c r="AC10" s="589"/>
      <c r="AD10" s="589"/>
      <c r="AE10" s="589"/>
      <c r="AF10" s="588"/>
      <c r="AG10" s="589"/>
      <c r="AH10" s="822"/>
      <c r="AI10" s="822"/>
      <c r="AJ10" s="822"/>
      <c r="AK10" s="822"/>
      <c r="AL10" s="822"/>
      <c r="AM10" s="589"/>
      <c r="AN10" s="589"/>
      <c r="AO10" s="589"/>
      <c r="AP10" s="589"/>
      <c r="AQ10" s="588"/>
      <c r="AR10" s="6515"/>
      <c r="AS10" s="6516"/>
      <c r="AT10" s="6517"/>
      <c r="AU10" s="6518"/>
      <c r="AV10" s="6519"/>
      <c r="AW10" s="6520"/>
      <c r="AX10" s="6521"/>
      <c r="AY10" s="6522"/>
      <c r="AZ10" s="6523"/>
      <c r="BA10" s="6524"/>
      <c r="BB10" s="6525"/>
      <c r="BC10" s="6526"/>
      <c r="BD10" s="6527"/>
      <c r="BE10" s="6528"/>
      <c r="BF10" s="6529"/>
      <c r="BG10" s="6530"/>
      <c r="BH10" s="6531"/>
      <c r="BI10" s="6532"/>
      <c r="BJ10" s="6533"/>
      <c r="BK10" s="6534"/>
      <c r="BL10" s="6535"/>
      <c r="BM10" s="6536"/>
      <c r="BN10" s="6537"/>
      <c r="BO10" s="6538"/>
      <c r="BP10" s="6539"/>
      <c r="BQ10" s="6540"/>
      <c r="BR10" s="6541"/>
      <c r="BS10" s="6542"/>
      <c r="BT10" s="6543"/>
      <c r="BU10" s="6544"/>
      <c r="BV10" s="6545"/>
      <c r="BW10" s="6546"/>
      <c r="BX10" s="6547"/>
      <c r="BY10" s="6548"/>
      <c r="BZ10" s="6549"/>
      <c r="CA10" s="6550"/>
      <c r="CB10" s="6551"/>
      <c r="CC10" s="6552"/>
      <c r="CD10" s="6553"/>
      <c r="CE10" s="6554"/>
      <c r="CF10" s="6555"/>
      <c r="CG10" s="6556"/>
      <c r="CH10" s="6557"/>
      <c r="CI10" s="6558"/>
      <c r="CJ10" s="6559"/>
      <c r="CK10" s="6560"/>
      <c r="CL10" s="6561"/>
      <c r="CM10" s="6562"/>
      <c r="CN10" s="6563"/>
      <c r="CO10" s="6564"/>
      <c r="CP10" s="6565"/>
      <c r="CQ10" s="6566"/>
      <c r="CR10" s="6567"/>
      <c r="CS10" s="6568"/>
      <c r="CT10" s="6569"/>
      <c r="CU10" s="9651"/>
      <c r="CV10" s="9652"/>
      <c r="CW10" s="9653"/>
      <c r="CX10" s="9654"/>
      <c r="CY10" s="9655"/>
      <c r="CZ10" s="9656"/>
      <c r="DA10" s="9657"/>
      <c r="DB10" s="9658"/>
      <c r="DC10" s="9659"/>
      <c r="DD10" s="9660"/>
      <c r="DE10" s="9661"/>
      <c r="DF10" s="9662"/>
      <c r="DG10" s="9663"/>
      <c r="DH10" s="9664"/>
      <c r="DI10" s="9665"/>
      <c r="DJ10" s="9666"/>
      <c r="DK10" s="9667"/>
      <c r="DL10" s="9668"/>
      <c r="DM10" s="9669"/>
      <c r="DN10" s="9670"/>
      <c r="DO10" s="9671"/>
      <c r="DP10" s="9672"/>
      <c r="DQ10" s="589"/>
      <c r="DR10" s="1667"/>
      <c r="DT10" s="722"/>
      <c r="DU10" s="722" t="str">
        <f>IF(T10="","",T10)</f>
        <v>Добавить группу потребителей</v>
      </c>
      <c r="DV10" s="722"/>
      <c r="DW10" s="722"/>
    </row>
    <row customHeight="1" ht="21" hidden="1">
      <c r="A11" s="1590"/>
      <c r="B11" s="1590"/>
      <c r="C11" s="1590"/>
      <c r="D11" s="1590"/>
      <c r="E11" s="2389"/>
      <c r="F11" s="2389"/>
      <c r="G11" s="2389"/>
      <c r="H11" s="2388"/>
      <c r="I11" s="1590"/>
      <c r="J11" s="1590"/>
      <c r="K11" s="1590"/>
      <c r="L11" s="1591"/>
      <c r="M11" s="1592"/>
      <c r="N11" s="1592"/>
      <c r="O11" s="759"/>
      <c r="P11" s="582"/>
      <c r="Q11" s="597"/>
      <c r="R11" s="577"/>
      <c r="S11" s="1505"/>
      <c r="T11" s="594" t="s">
        <v>592</v>
      </c>
      <c r="U11" s="589"/>
      <c r="V11" s="589"/>
      <c r="W11" s="822"/>
      <c r="X11" s="822"/>
      <c r="Y11" s="822"/>
      <c r="Z11" s="822"/>
      <c r="AA11" s="822"/>
      <c r="AB11" s="822"/>
      <c r="AC11" s="589"/>
      <c r="AD11" s="589"/>
      <c r="AE11" s="589"/>
      <c r="AF11" s="588"/>
      <c r="AG11" s="589"/>
      <c r="AH11" s="822"/>
      <c r="AI11" s="822"/>
      <c r="AJ11" s="822"/>
      <c r="AK11" s="822"/>
      <c r="AL11" s="822"/>
      <c r="AM11" s="589"/>
      <c r="AN11" s="589"/>
      <c r="AO11" s="589"/>
      <c r="AP11" s="589"/>
      <c r="AQ11" s="588"/>
      <c r="AR11" s="6570"/>
      <c r="AS11" s="6571"/>
      <c r="AT11" s="6572"/>
      <c r="AU11" s="6573"/>
      <c r="AV11" s="6574"/>
      <c r="AW11" s="6575"/>
      <c r="AX11" s="6576"/>
      <c r="AY11" s="6577"/>
      <c r="AZ11" s="6578"/>
      <c r="BA11" s="6579"/>
      <c r="BB11" s="6580"/>
      <c r="BC11" s="6581"/>
      <c r="BD11" s="6582"/>
      <c r="BE11" s="6583"/>
      <c r="BF11" s="6584"/>
      <c r="BG11" s="6585"/>
      <c r="BH11" s="6586"/>
      <c r="BI11" s="6587"/>
      <c r="BJ11" s="6588"/>
      <c r="BK11" s="6589"/>
      <c r="BL11" s="6590"/>
      <c r="BM11" s="6591"/>
      <c r="BN11" s="6592"/>
      <c r="BO11" s="6593"/>
      <c r="BP11" s="6594"/>
      <c r="BQ11" s="6595"/>
      <c r="BR11" s="6596"/>
      <c r="BS11" s="6597"/>
      <c r="BT11" s="6598"/>
      <c r="BU11" s="6599"/>
      <c r="BV11" s="6600"/>
      <c r="BW11" s="6601"/>
      <c r="BX11" s="6602"/>
      <c r="BY11" s="6603"/>
      <c r="BZ11" s="6604"/>
      <c r="CA11" s="6605"/>
      <c r="CB11" s="6606"/>
      <c r="CC11" s="6607"/>
      <c r="CD11" s="6608"/>
      <c r="CE11" s="6609"/>
      <c r="CF11" s="6610"/>
      <c r="CG11" s="6611"/>
      <c r="CH11" s="6612"/>
      <c r="CI11" s="6613"/>
      <c r="CJ11" s="6614"/>
      <c r="CK11" s="6615"/>
      <c r="CL11" s="6616"/>
      <c r="CM11" s="6617"/>
      <c r="CN11" s="6618"/>
      <c r="CO11" s="6619"/>
      <c r="CP11" s="6620"/>
      <c r="CQ11" s="6621"/>
      <c r="CR11" s="6622"/>
      <c r="CS11" s="6623"/>
      <c r="CT11" s="6624"/>
      <c r="CU11" s="9728"/>
      <c r="CV11" s="9729"/>
      <c r="CW11" s="9730"/>
      <c r="CX11" s="9731"/>
      <c r="CY11" s="9732"/>
      <c r="CZ11" s="9733"/>
      <c r="DA11" s="9734"/>
      <c r="DB11" s="9735"/>
      <c r="DC11" s="9736"/>
      <c r="DD11" s="9737"/>
      <c r="DE11" s="9738"/>
      <c r="DF11" s="9739"/>
      <c r="DG11" s="9740"/>
      <c r="DH11" s="9741"/>
      <c r="DI11" s="9742"/>
      <c r="DJ11" s="9743"/>
      <c r="DK11" s="9744"/>
      <c r="DL11" s="9745"/>
      <c r="DM11" s="9746"/>
      <c r="DN11" s="9747"/>
      <c r="DO11" s="9748"/>
      <c r="DP11" s="9749"/>
      <c r="DQ11" s="589"/>
      <c r="DR11" s="525"/>
      <c r="DT11" s="722"/>
      <c r="DU11" s="722" t="str">
        <f>IF(T11="","",T11)</f>
        <v>Добавить наименование признака дифференциации</v>
      </c>
      <c r="DV11" s="722"/>
      <c r="DW11" s="722"/>
    </row>
    <row s="16531" customFormat="1" customHeight="1" ht="14.25" hidden="1">
      <c r="A12" s="1570"/>
      <c r="B12" s="1570"/>
      <c r="C12" s="1541"/>
      <c r="D12" s="1541"/>
      <c r="E12" s="2389"/>
      <c r="F12" s="2388"/>
      <c r="G12" s="1541"/>
      <c r="H12" s="1541"/>
      <c r="I12" s="1541"/>
      <c r="J12" s="1541"/>
      <c r="K12" s="1541"/>
      <c r="L12" s="1721"/>
      <c r="M12" s="1548"/>
      <c r="N12" s="1548"/>
      <c r="P12" s="1543"/>
      <c r="Q12" s="1544"/>
      <c r="R12" s="1543"/>
      <c r="S12" s="1549"/>
      <c r="T12" s="1552" t="s">
        <v>305</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6625"/>
      <c r="AS12" s="6625"/>
      <c r="AT12" s="6625"/>
      <c r="AU12" s="6625"/>
      <c r="AV12" s="6625"/>
      <c r="AW12" s="6625"/>
      <c r="AX12" s="6625"/>
      <c r="AY12" s="6625"/>
      <c r="AZ12" s="6625"/>
      <c r="BA12" s="6625"/>
      <c r="BB12" s="6625"/>
      <c r="BC12" s="6625"/>
      <c r="BD12" s="6625"/>
      <c r="BE12" s="6625"/>
      <c r="BF12" s="6625"/>
      <c r="BG12" s="6625"/>
      <c r="BH12" s="6625"/>
      <c r="BI12" s="6625"/>
      <c r="BJ12" s="6625"/>
      <c r="BK12" s="6625"/>
      <c r="BL12" s="6625"/>
      <c r="BM12" s="6625"/>
      <c r="BN12" s="6625"/>
      <c r="BO12" s="6625"/>
      <c r="BP12" s="6625"/>
      <c r="BQ12" s="6625"/>
      <c r="BR12" s="6625"/>
      <c r="BS12" s="6625"/>
      <c r="BT12" s="6625"/>
      <c r="BU12" s="6625"/>
      <c r="BV12" s="6625"/>
      <c r="BW12" s="6625"/>
      <c r="BX12" s="6625"/>
      <c r="BY12" s="6625"/>
      <c r="BZ12" s="6625"/>
      <c r="CA12" s="6625"/>
      <c r="CB12" s="6625"/>
      <c r="CC12" s="6625"/>
      <c r="CD12" s="6625"/>
      <c r="CE12" s="6625"/>
      <c r="CF12" s="6625"/>
      <c r="CG12" s="6625"/>
      <c r="CH12" s="6625"/>
      <c r="CI12" s="6625"/>
      <c r="CJ12" s="6625"/>
      <c r="CK12" s="6625"/>
      <c r="CL12" s="6625"/>
      <c r="CM12" s="6625"/>
      <c r="CN12" s="6625"/>
      <c r="CO12" s="6625"/>
      <c r="CP12" s="6625"/>
      <c r="CQ12" s="6625"/>
      <c r="CR12" s="6625"/>
      <c r="CS12" s="6625"/>
      <c r="CT12" s="6625"/>
      <c r="CU12" s="9751"/>
      <c r="CV12" s="9751"/>
      <c r="CW12" s="9751"/>
      <c r="CX12" s="9751"/>
      <c r="CY12" s="9751"/>
      <c r="CZ12" s="9751"/>
      <c r="DA12" s="9751"/>
      <c r="DB12" s="9751"/>
      <c r="DC12" s="9751"/>
      <c r="DD12" s="9751"/>
      <c r="DE12" s="9751"/>
      <c r="DF12" s="9751"/>
      <c r="DG12" s="9751"/>
      <c r="DH12" s="9751"/>
      <c r="DI12" s="9751"/>
      <c r="DJ12" s="9751"/>
      <c r="DK12" s="9751"/>
      <c r="DL12" s="9751"/>
      <c r="DM12" s="9751"/>
      <c r="DN12" s="9751"/>
      <c r="DO12" s="9751"/>
      <c r="DP12" s="9751"/>
      <c r="DQ12" s="1551"/>
      <c r="DR12" s="1551"/>
      <c r="DT12" s="1011"/>
      <c r="DU12" s="1011" t="str">
        <f>IF(T12="","",T12)</f>
        <v>Добавить централизованную систему для дифференциации</v>
      </c>
      <c r="DV12" s="1011"/>
      <c r="DW12" s="1011"/>
    </row>
    <row s="16622" customFormat="1" customHeight="1" ht="14.25" hidden="1">
      <c r="A13" s="1570"/>
      <c r="B13" s="1570"/>
      <c r="C13" s="1570"/>
      <c r="D13" s="1570"/>
      <c r="E13" s="2388"/>
      <c r="F13" s="1570"/>
      <c r="G13" s="1570"/>
      <c r="H13" s="1570"/>
      <c r="I13" s="1570"/>
      <c r="J13" s="1570"/>
      <c r="K13" s="1570"/>
      <c r="L13" s="1573"/>
      <c r="M13" s="1548"/>
      <c r="N13" s="1548"/>
      <c r="O13" s="740"/>
      <c r="P13" s="602"/>
      <c r="Q13" s="1571"/>
      <c r="R13" s="602"/>
      <c r="S13" s="1549"/>
      <c r="T13" s="1552" t="s">
        <v>358</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6625"/>
      <c r="AS13" s="6625"/>
      <c r="AT13" s="6625"/>
      <c r="AU13" s="6625"/>
      <c r="AV13" s="6625"/>
      <c r="AW13" s="6625"/>
      <c r="AX13" s="6625"/>
      <c r="AY13" s="6625"/>
      <c r="AZ13" s="6625"/>
      <c r="BA13" s="6625"/>
      <c r="BB13" s="6625"/>
      <c r="BC13" s="6625"/>
      <c r="BD13" s="6625"/>
      <c r="BE13" s="6625"/>
      <c r="BF13" s="6625"/>
      <c r="BG13" s="6625"/>
      <c r="BH13" s="6625"/>
      <c r="BI13" s="6625"/>
      <c r="BJ13" s="6625"/>
      <c r="BK13" s="6625"/>
      <c r="BL13" s="6625"/>
      <c r="BM13" s="6625"/>
      <c r="BN13" s="6625"/>
      <c r="BO13" s="6625"/>
      <c r="BP13" s="6625"/>
      <c r="BQ13" s="6625"/>
      <c r="BR13" s="6625"/>
      <c r="BS13" s="6625"/>
      <c r="BT13" s="6625"/>
      <c r="BU13" s="6625"/>
      <c r="BV13" s="6625"/>
      <c r="BW13" s="6625"/>
      <c r="BX13" s="6625"/>
      <c r="BY13" s="6625"/>
      <c r="BZ13" s="6625"/>
      <c r="CA13" s="6625"/>
      <c r="CB13" s="6625"/>
      <c r="CC13" s="6625"/>
      <c r="CD13" s="6625"/>
      <c r="CE13" s="6625"/>
      <c r="CF13" s="6625"/>
      <c r="CG13" s="6625"/>
      <c r="CH13" s="6625"/>
      <c r="CI13" s="6625"/>
      <c r="CJ13" s="6625"/>
      <c r="CK13" s="6625"/>
      <c r="CL13" s="6625"/>
      <c r="CM13" s="6625"/>
      <c r="CN13" s="6625"/>
      <c r="CO13" s="6625"/>
      <c r="CP13" s="6625"/>
      <c r="CQ13" s="6625"/>
      <c r="CR13" s="6625"/>
      <c r="CS13" s="6625"/>
      <c r="CT13" s="6625"/>
      <c r="CU13" s="9751"/>
      <c r="CV13" s="9751"/>
      <c r="CW13" s="9751"/>
      <c r="CX13" s="9751"/>
      <c r="CY13" s="9751"/>
      <c r="CZ13" s="9751"/>
      <c r="DA13" s="9751"/>
      <c r="DB13" s="9751"/>
      <c r="DC13" s="9751"/>
      <c r="DD13" s="9751"/>
      <c r="DE13" s="9751"/>
      <c r="DF13" s="9751"/>
      <c r="DG13" s="9751"/>
      <c r="DH13" s="9751"/>
      <c r="DI13" s="9751"/>
      <c r="DJ13" s="9751"/>
      <c r="DK13" s="9751"/>
      <c r="DL13" s="9751"/>
      <c r="DM13" s="9751"/>
      <c r="DN13" s="9751"/>
      <c r="DO13" s="9751"/>
      <c r="DP13" s="9751"/>
      <c r="DQ13" s="1551"/>
      <c r="DR13" s="1551"/>
      <c r="DT13" s="722"/>
      <c r="DU13" s="722" t="str">
        <f>IF(T13="","",T13)</f>
        <v>Добавить территорию для дифференциации</v>
      </c>
      <c r="DV13" s="722"/>
      <c r="DW13" s="722"/>
    </row>
    <row customHeight="1" ht="14.25" hidden="1">
      <c r="AF14" s="549"/>
      <c r="AQ14" s="549"/>
      <c r="AR14" s="6445"/>
      <c r="AS14" s="6445"/>
      <c r="AT14" s="6445"/>
      <c r="AU14" s="6445"/>
      <c r="AV14" s="6445"/>
      <c r="AW14" s="6445"/>
      <c r="AX14" s="6445"/>
      <c r="AY14" s="6445"/>
      <c r="AZ14" s="6445"/>
      <c r="BA14" s="6445"/>
      <c r="BB14" s="6445"/>
      <c r="BC14" s="6445"/>
      <c r="BD14" s="6445"/>
      <c r="BE14" s="6445"/>
      <c r="BF14" s="6445"/>
      <c r="BG14" s="6445"/>
      <c r="BH14" s="6445"/>
      <c r="BI14" s="6445"/>
      <c r="BJ14" s="6445"/>
      <c r="BK14" s="6445"/>
      <c r="BL14" s="6445"/>
      <c r="BM14" s="6445"/>
      <c r="BN14" s="6445"/>
      <c r="BO14" s="6445"/>
      <c r="BP14" s="6445"/>
      <c r="BQ14" s="6445"/>
      <c r="BR14" s="6445"/>
      <c r="BS14" s="6445"/>
      <c r="BT14" s="6445"/>
      <c r="BU14" s="6445"/>
      <c r="BV14" s="6445"/>
      <c r="BW14" s="6445"/>
      <c r="BX14" s="6445"/>
      <c r="BY14" s="6445"/>
      <c r="BZ14" s="6445"/>
      <c r="CA14" s="6445"/>
      <c r="CB14" s="6445"/>
      <c r="CC14" s="6445"/>
      <c r="CD14" s="6445"/>
      <c r="CE14" s="6445"/>
      <c r="CF14" s="6445"/>
      <c r="CG14" s="6445"/>
      <c r="CH14" s="6445"/>
      <c r="CI14" s="6445"/>
      <c r="CJ14" s="6445"/>
      <c r="CK14" s="6445"/>
      <c r="CL14" s="6445"/>
      <c r="CM14" s="6445"/>
      <c r="CN14" s="6445"/>
      <c r="CO14" s="6445"/>
      <c r="CP14" s="6445"/>
      <c r="CQ14" s="6445"/>
      <c r="CR14" s="6445"/>
      <c r="CS14" s="6445"/>
      <c r="CT14" s="6445"/>
      <c r="CU14" s="9490"/>
      <c r="CV14" s="9490"/>
      <c r="CW14" s="9490"/>
      <c r="CX14" s="9490"/>
      <c r="CY14" s="9490"/>
      <c r="CZ14" s="9490"/>
      <c r="DA14" s="9490"/>
      <c r="DB14" s="9490"/>
      <c r="DC14" s="9490"/>
      <c r="DD14" s="9490"/>
      <c r="DE14" s="9490"/>
      <c r="DF14" s="9490"/>
      <c r="DG14" s="9490"/>
      <c r="DH14" s="9490"/>
      <c r="DI14" s="9490"/>
      <c r="DJ14" s="9490"/>
      <c r="DK14" s="9490"/>
      <c r="DL14" s="9490"/>
      <c r="DM14" s="9490"/>
      <c r="DN14" s="9490"/>
      <c r="DO14" s="9490"/>
      <c r="DP14" s="9490"/>
    </row>
    <row customHeight="1" ht="14.25" hidden="1">
      <c r="AG15" s="1587"/>
      <c r="AH15" s="1587"/>
      <c r="AI15" s="1587"/>
      <c r="AJ15" s="1587"/>
      <c r="AK15" s="1587"/>
      <c r="AL15" s="1587"/>
      <c r="AM15" s="1587"/>
      <c r="AN15" s="2386"/>
      <c r="AO15" s="2385" t="s">
        <v>63</v>
      </c>
      <c r="AP15" s="2386"/>
      <c r="AQ15" s="2385" t="s">
        <v>63</v>
      </c>
      <c r="AR15" s="6445"/>
      <c r="AS15" s="6445"/>
      <c r="AT15" s="6445"/>
      <c r="AU15" s="6445"/>
      <c r="AV15" s="6445"/>
      <c r="AW15" s="6445"/>
      <c r="AX15" s="6445"/>
      <c r="AY15" s="6445"/>
      <c r="AZ15" s="6445"/>
      <c r="BA15" s="6445"/>
      <c r="BB15" s="6445"/>
      <c r="BC15" s="6445"/>
      <c r="BD15" s="6445"/>
      <c r="BE15" s="6445"/>
      <c r="BF15" s="6445"/>
      <c r="BG15" s="6445"/>
      <c r="BH15" s="6445"/>
      <c r="BI15" s="6445"/>
      <c r="BJ15" s="6445"/>
      <c r="BK15" s="6445"/>
      <c r="BL15" s="6445"/>
      <c r="BM15" s="6445"/>
      <c r="BN15" s="6445"/>
      <c r="BO15" s="6445"/>
      <c r="BP15" s="6445"/>
      <c r="BQ15" s="6445"/>
      <c r="BR15" s="6445"/>
      <c r="BS15" s="6445"/>
      <c r="BT15" s="6445"/>
      <c r="BU15" s="6445"/>
      <c r="BV15" s="6445"/>
      <c r="BW15" s="6445"/>
      <c r="BX15" s="6445"/>
      <c r="BY15" s="6445"/>
      <c r="BZ15" s="6445"/>
      <c r="CA15" s="6445"/>
      <c r="CB15" s="6445"/>
      <c r="CC15" s="6445"/>
      <c r="CD15" s="6445"/>
      <c r="CE15" s="6445"/>
      <c r="CF15" s="6445"/>
      <c r="CG15" s="6445"/>
      <c r="CH15" s="6445"/>
      <c r="CI15" s="6445"/>
      <c r="CJ15" s="6445"/>
      <c r="CK15" s="6445"/>
      <c r="CL15" s="6445"/>
      <c r="CM15" s="6445"/>
      <c r="CN15" s="6445"/>
      <c r="CO15" s="6445"/>
      <c r="CP15" s="6445"/>
      <c r="CQ15" s="6445"/>
      <c r="CR15" s="6445"/>
      <c r="CS15" s="6445"/>
      <c r="CT15" s="6445"/>
      <c r="CU15" s="9490"/>
      <c r="CV15" s="9490"/>
      <c r="CW15" s="9490"/>
      <c r="CX15" s="9490"/>
      <c r="CY15" s="9490"/>
      <c r="CZ15" s="9490"/>
      <c r="DA15" s="9490"/>
      <c r="DB15" s="9490"/>
      <c r="DC15" s="9490"/>
      <c r="DD15" s="9490"/>
      <c r="DE15" s="9490"/>
      <c r="DF15" s="9490"/>
      <c r="DG15" s="9490"/>
      <c r="DH15" s="9490"/>
      <c r="DI15" s="9490"/>
      <c r="DJ15" s="9490"/>
      <c r="DK15" s="9490"/>
      <c r="DL15" s="9490"/>
      <c r="DM15" s="9490"/>
      <c r="DN15" s="9490"/>
      <c r="DO15" s="9490"/>
      <c r="DP15" s="9490"/>
    </row>
    <row customHeight="1" ht="14.25" hidden="1">
      <c r="AG16" s="1587"/>
      <c r="AH16" s="1587"/>
      <c r="AI16" s="1587"/>
      <c r="AJ16" s="1587"/>
      <c r="AK16" s="1587"/>
      <c r="AL16" s="1587"/>
      <c r="AM16" s="1587"/>
      <c r="AN16" s="2385"/>
      <c r="AO16" s="2385"/>
      <c r="AP16" s="2385"/>
      <c r="AQ16" s="2385"/>
      <c r="AR16" s="6445"/>
      <c r="AS16" s="6445"/>
      <c r="AT16" s="6445"/>
      <c r="AU16" s="6445"/>
      <c r="AV16" s="6445"/>
      <c r="AW16" s="6445"/>
      <c r="AX16" s="6445"/>
      <c r="AY16" s="6445"/>
      <c r="AZ16" s="6445"/>
      <c r="BA16" s="6445"/>
      <c r="BB16" s="6445"/>
      <c r="BC16" s="6445"/>
      <c r="BD16" s="6445"/>
      <c r="BE16" s="6445"/>
      <c r="BF16" s="6445"/>
      <c r="BG16" s="6445"/>
      <c r="BH16" s="6445"/>
      <c r="BI16" s="6445"/>
      <c r="BJ16" s="6445"/>
      <c r="BK16" s="6445"/>
      <c r="BL16" s="6445"/>
      <c r="BM16" s="6445"/>
      <c r="BN16" s="6445"/>
      <c r="BO16" s="6445"/>
      <c r="BP16" s="6445"/>
      <c r="BQ16" s="6445"/>
      <c r="BR16" s="6445"/>
      <c r="BS16" s="6445"/>
      <c r="BT16" s="6445"/>
      <c r="BU16" s="6445"/>
      <c r="BV16" s="6445"/>
      <c r="BW16" s="6445"/>
      <c r="BX16" s="6445"/>
      <c r="BY16" s="6445"/>
      <c r="BZ16" s="6445"/>
      <c r="CA16" s="6445"/>
      <c r="CB16" s="6445"/>
      <c r="CC16" s="6445"/>
      <c r="CD16" s="6445"/>
      <c r="CE16" s="6445"/>
      <c r="CF16" s="6445"/>
      <c r="CG16" s="6445"/>
      <c r="CH16" s="6445"/>
      <c r="CI16" s="6445"/>
      <c r="CJ16" s="6445"/>
      <c r="CK16" s="6445"/>
      <c r="CL16" s="6445"/>
      <c r="CM16" s="6445"/>
      <c r="CN16" s="6445"/>
      <c r="CO16" s="6445"/>
      <c r="CP16" s="6445"/>
      <c r="CQ16" s="6445"/>
      <c r="CR16" s="6445"/>
      <c r="CS16" s="6445"/>
      <c r="CT16" s="6445"/>
      <c r="CU16" s="9490"/>
      <c r="CV16" s="9490"/>
      <c r="CW16" s="9490"/>
      <c r="CX16" s="9490"/>
      <c r="CY16" s="9490"/>
      <c r="CZ16" s="9490"/>
      <c r="DA16" s="9490"/>
      <c r="DB16" s="9490"/>
      <c r="DC16" s="9490"/>
      <c r="DD16" s="9490"/>
      <c r="DE16" s="9490"/>
      <c r="DF16" s="9490"/>
      <c r="DG16" s="9490"/>
      <c r="DH16" s="9490"/>
      <c r="DI16" s="9490"/>
      <c r="DJ16" s="9490"/>
      <c r="DK16" s="9490"/>
      <c r="DL16" s="9490"/>
      <c r="DM16" s="9490"/>
      <c r="DN16" s="9490"/>
      <c r="DO16" s="9490"/>
      <c r="DP16" s="9490"/>
    </row>
    <row customHeight="1" ht="14.25" hidden="1">
      <c r="AQ17" s="549"/>
      <c r="AR17" s="6445"/>
      <c r="AS17" s="6445"/>
      <c r="AT17" s="6445"/>
      <c r="AU17" s="6445"/>
      <c r="AV17" s="6445"/>
      <c r="AW17" s="6445"/>
      <c r="AX17" s="6445"/>
      <c r="AY17" s="6445"/>
      <c r="AZ17" s="6445"/>
      <c r="BA17" s="6445"/>
      <c r="BB17" s="6445"/>
      <c r="BC17" s="6445"/>
      <c r="BD17" s="6445"/>
      <c r="BE17" s="6445"/>
      <c r="BF17" s="6445"/>
      <c r="BG17" s="6445"/>
      <c r="BH17" s="6445"/>
      <c r="BI17" s="6445"/>
      <c r="BJ17" s="6445"/>
      <c r="BK17" s="6445"/>
      <c r="BL17" s="6445"/>
      <c r="BM17" s="6445"/>
      <c r="BN17" s="6445"/>
      <c r="BO17" s="6445"/>
      <c r="BP17" s="6445"/>
      <c r="BQ17" s="6445"/>
      <c r="BR17" s="6445"/>
      <c r="BS17" s="6445"/>
      <c r="BT17" s="6445"/>
      <c r="BU17" s="6445"/>
      <c r="BV17" s="6445"/>
      <c r="BW17" s="6445"/>
      <c r="BX17" s="6445"/>
      <c r="BY17" s="6445"/>
      <c r="BZ17" s="6445"/>
      <c r="CA17" s="6445"/>
      <c r="CB17" s="6445"/>
      <c r="CC17" s="6445"/>
      <c r="CD17" s="6445"/>
      <c r="CE17" s="6445"/>
      <c r="CF17" s="6445"/>
      <c r="CG17" s="6445"/>
      <c r="CH17" s="6445"/>
      <c r="CI17" s="6445"/>
      <c r="CJ17" s="6445"/>
      <c r="CK17" s="6445"/>
      <c r="CL17" s="6445"/>
      <c r="CM17" s="6445"/>
      <c r="CN17" s="6445"/>
      <c r="CO17" s="6445"/>
      <c r="CP17" s="6445"/>
      <c r="CQ17" s="6445"/>
      <c r="CR17" s="6445"/>
      <c r="CS17" s="6445"/>
      <c r="CT17" s="6445"/>
      <c r="CU17" s="9490"/>
      <c r="CV17" s="9490"/>
      <c r="CW17" s="9490"/>
      <c r="CX17" s="9490"/>
      <c r="CY17" s="9490"/>
      <c r="CZ17" s="9490"/>
      <c r="DA17" s="9490"/>
      <c r="DB17" s="9490"/>
      <c r="DC17" s="9490"/>
      <c r="DD17" s="9490"/>
      <c r="DE17" s="9490"/>
      <c r="DF17" s="9490"/>
      <c r="DG17" s="9490"/>
      <c r="DH17" s="9490"/>
      <c r="DI17" s="9490"/>
      <c r="DJ17" s="9490"/>
      <c r="DK17" s="9490"/>
      <c r="DL17" s="9490"/>
      <c r="DM17" s="9490"/>
      <c r="DN17" s="9490"/>
      <c r="DO17" s="9490"/>
      <c r="DP17" s="9490"/>
    </row>
    <row s="16550" customFormat="1" customHeight="1" ht="22.5" hidden="1">
      <c r="L18" s="1705"/>
      <c r="M18" s="1589"/>
      <c r="N18" s="1589"/>
      <c r="O18" s="1594" t="s">
        <v>521</v>
      </c>
      <c r="P18" s="1589"/>
      <c r="Q18" s="1598"/>
      <c r="R18" s="1598"/>
      <c r="S18" s="951"/>
      <c r="W18" s="1593"/>
      <c r="X18" s="1593"/>
      <c r="Y18" s="1593"/>
      <c r="Z18" s="1593"/>
      <c r="AA18" s="1593"/>
      <c r="AB18" s="1593"/>
      <c r="AC18" s="1594"/>
      <c r="AE18" s="1594"/>
      <c r="AF18" s="1593"/>
      <c r="AH18" s="1593"/>
      <c r="AI18" s="1593"/>
      <c r="AJ18" s="1593"/>
      <c r="AK18" s="1593"/>
      <c r="AL18" s="1593"/>
      <c r="AN18" s="1594"/>
      <c r="AP18" s="1594"/>
      <c r="AQ18" s="1593"/>
      <c r="AR18" s="6626"/>
      <c r="AS18" s="6626"/>
      <c r="AT18" s="6626"/>
      <c r="AU18" s="6626"/>
      <c r="AV18" s="6626"/>
      <c r="AW18" s="6626"/>
      <c r="AX18" s="6626"/>
      <c r="AY18" s="6627"/>
      <c r="AZ18" s="6626"/>
      <c r="BA18" s="6627"/>
      <c r="BB18" s="6626"/>
      <c r="BC18" s="6626"/>
      <c r="BD18" s="6626"/>
      <c r="BE18" s="6626"/>
      <c r="BF18" s="6626"/>
      <c r="BG18" s="6626"/>
      <c r="BH18" s="6626"/>
      <c r="BI18" s="6626"/>
      <c r="BJ18" s="6627"/>
      <c r="BK18" s="6626"/>
      <c r="BL18" s="6627"/>
      <c r="BM18" s="6626"/>
      <c r="BN18" s="6626"/>
      <c r="BO18" s="6626"/>
      <c r="BP18" s="6626"/>
      <c r="BQ18" s="6626"/>
      <c r="BR18" s="6626"/>
      <c r="BS18" s="6626"/>
      <c r="BT18" s="6626"/>
      <c r="BU18" s="6627"/>
      <c r="BV18" s="6626"/>
      <c r="BW18" s="6627"/>
      <c r="BX18" s="6626"/>
      <c r="BY18" s="6626"/>
      <c r="BZ18" s="6626"/>
      <c r="CA18" s="6626"/>
      <c r="CB18" s="6626"/>
      <c r="CC18" s="6626"/>
      <c r="CD18" s="6626"/>
      <c r="CE18" s="6626"/>
      <c r="CF18" s="6627"/>
      <c r="CG18" s="6626"/>
      <c r="CH18" s="6627"/>
      <c r="CI18" s="6626"/>
      <c r="CJ18" s="6626"/>
      <c r="CK18" s="6626"/>
      <c r="CL18" s="6626"/>
      <c r="CM18" s="6626"/>
      <c r="CN18" s="6626"/>
      <c r="CO18" s="6626"/>
      <c r="CP18" s="6626"/>
      <c r="CQ18" s="6627"/>
      <c r="CR18" s="6626"/>
      <c r="CS18" s="6627"/>
      <c r="CT18" s="6626"/>
      <c r="CU18" s="9754"/>
      <c r="CV18" s="9754"/>
      <c r="CW18" s="9754"/>
      <c r="CX18" s="9754"/>
      <c r="CY18" s="9754"/>
      <c r="CZ18" s="9754"/>
      <c r="DA18" s="9754"/>
      <c r="DB18" s="9755"/>
      <c r="DC18" s="9754"/>
      <c r="DD18" s="9755"/>
      <c r="DE18" s="9754"/>
      <c r="DF18" s="9754"/>
      <c r="DG18" s="9754"/>
      <c r="DH18" s="9754"/>
      <c r="DI18" s="9754"/>
      <c r="DJ18" s="9754"/>
      <c r="DK18" s="9754"/>
      <c r="DL18" s="9754"/>
      <c r="DM18" s="9755"/>
      <c r="DN18" s="9754"/>
      <c r="DO18" s="9755"/>
      <c r="DP18" s="9754"/>
      <c r="DS18" s="733"/>
      <c r="DT18" s="733"/>
      <c r="DU18" s="733"/>
      <c r="DV18" s="733"/>
      <c r="DW18" s="733"/>
    </row>
    <row s="16550" customFormat="1" customHeight="1" ht="14.25" hidden="1">
      <c r="L19" s="1705"/>
      <c r="M19" s="1589"/>
      <c r="N19" s="1589"/>
      <c r="O19" s="1589"/>
      <c r="P19" s="1589"/>
      <c r="Q19" s="1598"/>
      <c r="R19" s="1598"/>
      <c r="S19" s="951"/>
      <c r="W19" s="1593"/>
      <c r="X19" s="1593"/>
      <c r="Y19" s="1593"/>
      <c r="Z19" s="1593"/>
      <c r="AA19" s="1593"/>
      <c r="AB19" s="1593"/>
      <c r="AF19" s="1593"/>
      <c r="AH19" s="1593"/>
      <c r="AI19" s="1593"/>
      <c r="AJ19" s="1593"/>
      <c r="AK19" s="1593"/>
      <c r="AL19" s="1593"/>
      <c r="AQ19" s="1593"/>
      <c r="AR19" s="6626"/>
      <c r="AS19" s="6626"/>
      <c r="AT19" s="6626"/>
      <c r="AU19" s="6626"/>
      <c r="AV19" s="6626"/>
      <c r="AW19" s="6626"/>
      <c r="AX19" s="6626"/>
      <c r="AY19" s="6626"/>
      <c r="AZ19" s="6626"/>
      <c r="BA19" s="6626"/>
      <c r="BB19" s="6626"/>
      <c r="BC19" s="6626"/>
      <c r="BD19" s="6626"/>
      <c r="BE19" s="6626"/>
      <c r="BF19" s="6626"/>
      <c r="BG19" s="6626"/>
      <c r="BH19" s="6626"/>
      <c r="BI19" s="6626"/>
      <c r="BJ19" s="6626"/>
      <c r="BK19" s="6626"/>
      <c r="BL19" s="6626"/>
      <c r="BM19" s="6626"/>
      <c r="BN19" s="6626"/>
      <c r="BO19" s="6626"/>
      <c r="BP19" s="6626"/>
      <c r="BQ19" s="6626"/>
      <c r="BR19" s="6626"/>
      <c r="BS19" s="6626"/>
      <c r="BT19" s="6626"/>
      <c r="BU19" s="6626"/>
      <c r="BV19" s="6626"/>
      <c r="BW19" s="6626"/>
      <c r="BX19" s="6626"/>
      <c r="BY19" s="6626"/>
      <c r="BZ19" s="6626"/>
      <c r="CA19" s="6626"/>
      <c r="CB19" s="6626"/>
      <c r="CC19" s="6626"/>
      <c r="CD19" s="6626"/>
      <c r="CE19" s="6626"/>
      <c r="CF19" s="6626"/>
      <c r="CG19" s="6626"/>
      <c r="CH19" s="6626"/>
      <c r="CI19" s="6626"/>
      <c r="CJ19" s="6626"/>
      <c r="CK19" s="6626"/>
      <c r="CL19" s="6626"/>
      <c r="CM19" s="6626"/>
      <c r="CN19" s="6626"/>
      <c r="CO19" s="6626"/>
      <c r="CP19" s="6626"/>
      <c r="CQ19" s="6626"/>
      <c r="CR19" s="6626"/>
      <c r="CS19" s="6626"/>
      <c r="CT19" s="6626"/>
      <c r="CU19" s="9754"/>
      <c r="CV19" s="9754"/>
      <c r="CW19" s="9754"/>
      <c r="CX19" s="9754"/>
      <c r="CY19" s="9754"/>
      <c r="CZ19" s="9754"/>
      <c r="DA19" s="9754"/>
      <c r="DB19" s="9754"/>
      <c r="DC19" s="9754"/>
      <c r="DD19" s="9754"/>
      <c r="DE19" s="9754"/>
      <c r="DF19" s="9754"/>
      <c r="DG19" s="9754"/>
      <c r="DH19" s="9754"/>
      <c r="DI19" s="9754"/>
      <c r="DJ19" s="9754"/>
      <c r="DK19" s="9754"/>
      <c r="DL19" s="9754"/>
      <c r="DM19" s="9754"/>
      <c r="DN19" s="9754"/>
      <c r="DO19" s="9754"/>
      <c r="DP19" s="9754"/>
      <c r="DS19" s="733"/>
      <c r="DT19" s="733"/>
      <c r="DU19" s="733"/>
      <c r="DV19" s="733"/>
      <c r="DW19" s="733"/>
    </row>
    <row s="16550" customFormat="1" customHeight="1" ht="12" hidden="1">
      <c r="L20" s="1705"/>
      <c r="M20" s="1589"/>
      <c r="N20" s="1589"/>
      <c r="O20" s="1591" t="s">
        <v>522</v>
      </c>
      <c r="P20" s="1589"/>
      <c r="Q20" s="1669"/>
      <c r="R20" s="1669"/>
      <c r="S20" s="951"/>
      <c r="T20" s="1384" t="s">
        <v>523</v>
      </c>
      <c r="W20" s="1593"/>
      <c r="X20" s="1593"/>
      <c r="Y20" s="1593"/>
      <c r="Z20" s="1593"/>
      <c r="AA20" s="1593"/>
      <c r="AB20" s="1593"/>
      <c r="AD20" s="408" t="s">
        <v>524</v>
      </c>
      <c r="AF20" s="408" t="s">
        <v>525</v>
      </c>
      <c r="AG20" s="1384" t="s">
        <v>523</v>
      </c>
      <c r="AH20" s="1593"/>
      <c r="AI20" s="1593"/>
      <c r="AJ20" s="1593"/>
      <c r="AK20" s="1593"/>
      <c r="AL20" s="1593"/>
      <c r="AO20" s="408" t="s">
        <v>526</v>
      </c>
      <c r="AQ20" s="408" t="s">
        <v>525</v>
      </c>
      <c r="AR20" s="6626"/>
      <c r="AS20" s="6626"/>
      <c r="AT20" s="6626"/>
      <c r="AU20" s="6626"/>
      <c r="AV20" s="6626"/>
      <c r="AW20" s="6626"/>
      <c r="AX20" s="6626"/>
      <c r="AY20" s="6626"/>
      <c r="AZ20" s="6628" t="s">
        <v>524</v>
      </c>
      <c r="BA20" s="6626"/>
      <c r="BB20" s="6628" t="s">
        <v>525</v>
      </c>
      <c r="BC20" s="6626"/>
      <c r="BD20" s="6626"/>
      <c r="BE20" s="6626"/>
      <c r="BF20" s="6626"/>
      <c r="BG20" s="6626"/>
      <c r="BH20" s="6626"/>
      <c r="BI20" s="6626"/>
      <c r="BJ20" s="6626"/>
      <c r="BK20" s="6628" t="s">
        <v>524</v>
      </c>
      <c r="BL20" s="6626"/>
      <c r="BM20" s="6628" t="s">
        <v>525</v>
      </c>
      <c r="BN20" s="6626"/>
      <c r="BO20" s="6626"/>
      <c r="BP20" s="6626"/>
      <c r="BQ20" s="6626"/>
      <c r="BR20" s="6626"/>
      <c r="BS20" s="6626"/>
      <c r="BT20" s="6626"/>
      <c r="BU20" s="6626"/>
      <c r="BV20" s="6628" t="s">
        <v>524</v>
      </c>
      <c r="BW20" s="6626"/>
      <c r="BX20" s="6628" t="s">
        <v>525</v>
      </c>
      <c r="BY20" s="6626"/>
      <c r="BZ20" s="6626"/>
      <c r="CA20" s="6626"/>
      <c r="CB20" s="6626"/>
      <c r="CC20" s="6626"/>
      <c r="CD20" s="6626"/>
      <c r="CE20" s="6626"/>
      <c r="CF20" s="6626"/>
      <c r="CG20" s="6628" t="s">
        <v>524</v>
      </c>
      <c r="CH20" s="6626"/>
      <c r="CI20" s="6628" t="s">
        <v>525</v>
      </c>
      <c r="CJ20" s="6626"/>
      <c r="CK20" s="6626"/>
      <c r="CL20" s="6626"/>
      <c r="CM20" s="6626"/>
      <c r="CN20" s="6626"/>
      <c r="CO20" s="6626"/>
      <c r="CP20" s="6626"/>
      <c r="CQ20" s="6626"/>
      <c r="CR20" s="6628" t="s">
        <v>524</v>
      </c>
      <c r="CS20" s="6626"/>
      <c r="CT20" s="6628" t="s">
        <v>525</v>
      </c>
      <c r="CU20" s="9754"/>
      <c r="CV20" s="9754"/>
      <c r="CW20" s="9754"/>
      <c r="CX20" s="9754"/>
      <c r="CY20" s="9754"/>
      <c r="CZ20" s="9754"/>
      <c r="DA20" s="9754"/>
      <c r="DB20" s="9754"/>
      <c r="DC20" s="9757" t="s">
        <v>524</v>
      </c>
      <c r="DD20" s="9754"/>
      <c r="DE20" s="9757" t="s">
        <v>525</v>
      </c>
      <c r="DF20" s="9754"/>
      <c r="DG20" s="9754"/>
      <c r="DH20" s="9754"/>
      <c r="DI20" s="9754"/>
      <c r="DJ20" s="9754"/>
      <c r="DK20" s="9754"/>
      <c r="DL20" s="9754"/>
      <c r="DM20" s="9754"/>
      <c r="DN20" s="9757" t="s">
        <v>524</v>
      </c>
      <c r="DO20" s="9754"/>
      <c r="DP20" s="9757" t="s">
        <v>525</v>
      </c>
    </row>
    <row customHeight="1" ht="14.25" hidden="1">
      <c r="O21" s="1591"/>
      <c r="AR21" s="6445"/>
      <c r="AS21" s="6445"/>
      <c r="AT21" s="6445"/>
      <c r="AU21" s="6445"/>
      <c r="AV21" s="6445"/>
      <c r="AW21" s="6445"/>
      <c r="AX21" s="6445"/>
      <c r="AY21" s="6445"/>
      <c r="AZ21" s="6445"/>
      <c r="BA21" s="6445"/>
      <c r="BB21" s="6445"/>
      <c r="BC21" s="6445"/>
      <c r="BD21" s="6445"/>
      <c r="BE21" s="6445"/>
      <c r="BF21" s="6445"/>
      <c r="BG21" s="6445"/>
      <c r="BH21" s="6445"/>
      <c r="BI21" s="6445"/>
      <c r="BJ21" s="6445"/>
      <c r="BK21" s="6445"/>
      <c r="BL21" s="6445"/>
      <c r="BM21" s="6445"/>
      <c r="BN21" s="6445"/>
      <c r="BO21" s="6445"/>
      <c r="BP21" s="6445"/>
      <c r="BQ21" s="6445"/>
      <c r="BR21" s="6445"/>
      <c r="BS21" s="6445"/>
      <c r="BT21" s="6445"/>
      <c r="BU21" s="6445"/>
      <c r="BV21" s="6445"/>
      <c r="BW21" s="6445"/>
      <c r="BX21" s="6445"/>
      <c r="BY21" s="6445"/>
      <c r="BZ21" s="6445"/>
      <c r="CA21" s="6445"/>
      <c r="CB21" s="6445"/>
      <c r="CC21" s="6445"/>
      <c r="CD21" s="6445"/>
      <c r="CE21" s="6445"/>
      <c r="CF21" s="6445"/>
      <c r="CG21" s="6445"/>
      <c r="CH21" s="6445"/>
      <c r="CI21" s="6445"/>
      <c r="CJ21" s="6445"/>
      <c r="CK21" s="6445"/>
      <c r="CL21" s="6445"/>
      <c r="CM21" s="6445"/>
      <c r="CN21" s="6445"/>
      <c r="CO21" s="6445"/>
      <c r="CP21" s="6445"/>
      <c r="CQ21" s="6445"/>
      <c r="CR21" s="6445"/>
      <c r="CS21" s="6445"/>
      <c r="CT21" s="6445"/>
      <c r="CU21" s="9490"/>
      <c r="CV21" s="9490"/>
      <c r="CW21" s="9490"/>
      <c r="CX21" s="9490"/>
      <c r="CY21" s="9490"/>
      <c r="CZ21" s="9490"/>
      <c r="DA21" s="9490"/>
      <c r="DB21" s="9490"/>
      <c r="DC21" s="9490"/>
      <c r="DD21" s="9490"/>
      <c r="DE21" s="9490"/>
      <c r="DF21" s="9490"/>
      <c r="DG21" s="9490"/>
      <c r="DH21" s="9490"/>
      <c r="DI21" s="9490"/>
      <c r="DJ21" s="9490"/>
      <c r="DK21" s="9490"/>
      <c r="DL21" s="9490"/>
      <c r="DM21" s="9490"/>
      <c r="DN21" s="9490"/>
      <c r="DO21" s="9490"/>
      <c r="DP21" s="9490"/>
    </row>
    <row customHeight="1" ht="14.25" hidden="1">
      <c r="O22" s="1591"/>
      <c r="AR22" s="6445"/>
      <c r="AS22" s="6445"/>
      <c r="AT22" s="6445"/>
      <c r="AU22" s="6445"/>
      <c r="AV22" s="6445"/>
      <c r="AW22" s="6445"/>
      <c r="AX22" s="6445"/>
      <c r="AY22" s="6445"/>
      <c r="AZ22" s="6445"/>
      <c r="BA22" s="6445"/>
      <c r="BB22" s="6445"/>
      <c r="BC22" s="6445"/>
      <c r="BD22" s="6445"/>
      <c r="BE22" s="6445"/>
      <c r="BF22" s="6445"/>
      <c r="BG22" s="6445"/>
      <c r="BH22" s="6445"/>
      <c r="BI22" s="6445"/>
      <c r="BJ22" s="6445"/>
      <c r="BK22" s="6445"/>
      <c r="BL22" s="6445"/>
      <c r="BM22" s="6445"/>
      <c r="BN22" s="6445"/>
      <c r="BO22" s="6445"/>
      <c r="BP22" s="6445"/>
      <c r="BQ22" s="6445"/>
      <c r="BR22" s="6445"/>
      <c r="BS22" s="6445"/>
      <c r="BT22" s="6445"/>
      <c r="BU22" s="6445"/>
      <c r="BV22" s="6445"/>
      <c r="BW22" s="6445"/>
      <c r="BX22" s="6445"/>
      <c r="BY22" s="6445"/>
      <c r="BZ22" s="6445"/>
      <c r="CA22" s="6445"/>
      <c r="CB22" s="6445"/>
      <c r="CC22" s="6445"/>
      <c r="CD22" s="6445"/>
      <c r="CE22" s="6445"/>
      <c r="CF22" s="6445"/>
      <c r="CG22" s="6445"/>
      <c r="CH22" s="6445"/>
      <c r="CI22" s="6445"/>
      <c r="CJ22" s="6445"/>
      <c r="CK22" s="6445"/>
      <c r="CL22" s="6445"/>
      <c r="CM22" s="6445"/>
      <c r="CN22" s="6445"/>
      <c r="CO22" s="6445"/>
      <c r="CP22" s="6445"/>
      <c r="CQ22" s="6445"/>
      <c r="CR22" s="6445"/>
      <c r="CS22" s="6445"/>
      <c r="CT22" s="6445"/>
      <c r="CU22" s="9490"/>
      <c r="CV22" s="9490"/>
      <c r="CW22" s="9490"/>
      <c r="CX22" s="9490"/>
      <c r="CY22" s="9490"/>
      <c r="CZ22" s="9490"/>
      <c r="DA22" s="9490"/>
      <c r="DB22" s="9490"/>
      <c r="DC22" s="9490"/>
      <c r="DD22" s="9490"/>
      <c r="DE22" s="9490"/>
      <c r="DF22" s="9490"/>
      <c r="DG22" s="9490"/>
      <c r="DH22" s="9490"/>
      <c r="DI22" s="9490"/>
      <c r="DJ22" s="9490"/>
      <c r="DK22" s="9490"/>
      <c r="DL22" s="9490"/>
      <c r="DM22" s="9490"/>
      <c r="DN22" s="9490"/>
      <c r="DO22" s="9490"/>
      <c r="DP22" s="9490"/>
    </row>
    <row customHeight="1" ht="14.25">
      <c r="Q23" s="598"/>
      <c r="R23" s="598"/>
      <c r="S23" s="1502"/>
      <c r="T23" s="585"/>
      <c r="U23" s="585"/>
      <c r="V23" s="731"/>
      <c r="W23" s="1862"/>
      <c r="X23" s="1862"/>
      <c r="Y23" s="1862"/>
      <c r="Z23" s="1862"/>
      <c r="AA23" s="1862"/>
      <c r="AB23" s="1862"/>
      <c r="AC23" s="731"/>
      <c r="AD23" s="731"/>
      <c r="AE23" s="731"/>
      <c r="AF23" s="731"/>
      <c r="AG23" s="731"/>
      <c r="AH23" s="1862"/>
      <c r="AI23" s="1862"/>
      <c r="AJ23" s="1862"/>
      <c r="AK23" s="1862"/>
      <c r="AL23" s="1862"/>
      <c r="AM23" s="731"/>
      <c r="AN23" s="731"/>
      <c r="AO23" s="731"/>
      <c r="AP23" s="731"/>
      <c r="AQ23" s="731"/>
      <c r="AR23" s="6445"/>
      <c r="AS23" s="6445"/>
      <c r="AT23" s="6445"/>
      <c r="AU23" s="6445"/>
      <c r="AV23" s="6445"/>
      <c r="AW23" s="6445"/>
      <c r="AX23" s="6445"/>
      <c r="AY23" s="6445"/>
      <c r="AZ23" s="6445"/>
      <c r="BA23" s="6445"/>
      <c r="BB23" s="6445"/>
      <c r="BC23" s="6445"/>
      <c r="BD23" s="6445"/>
      <c r="BE23" s="6445"/>
      <c r="BF23" s="6445"/>
      <c r="BG23" s="6445"/>
      <c r="BH23" s="6445"/>
      <c r="BI23" s="6445"/>
      <c r="BJ23" s="6445"/>
      <c r="BK23" s="6445"/>
      <c r="BL23" s="6445"/>
      <c r="BM23" s="6445"/>
      <c r="BN23" s="6445"/>
      <c r="BO23" s="6445"/>
      <c r="BP23" s="6445"/>
      <c r="BQ23" s="6445"/>
      <c r="BR23" s="6445"/>
      <c r="BS23" s="6445"/>
      <c r="BT23" s="6445"/>
      <c r="BU23" s="6445"/>
      <c r="BV23" s="6445"/>
      <c r="BW23" s="6445"/>
      <c r="BX23" s="6445"/>
      <c r="BY23" s="6445"/>
      <c r="BZ23" s="6445"/>
      <c r="CA23" s="6445"/>
      <c r="CB23" s="6445"/>
      <c r="CC23" s="6445"/>
      <c r="CD23" s="6445"/>
      <c r="CE23" s="6445"/>
      <c r="CF23" s="6445"/>
      <c r="CG23" s="6445"/>
      <c r="CH23" s="6445"/>
      <c r="CI23" s="6445"/>
      <c r="CJ23" s="6445"/>
      <c r="CK23" s="6445"/>
      <c r="CL23" s="6445"/>
      <c r="CM23" s="6445"/>
      <c r="CN23" s="6445"/>
      <c r="CO23" s="6445"/>
      <c r="CP23" s="6445"/>
      <c r="CQ23" s="6445"/>
      <c r="CR23" s="6445"/>
      <c r="CS23" s="6445"/>
      <c r="CT23" s="6445"/>
      <c r="CU23" s="9490"/>
      <c r="CV23" s="9490"/>
      <c r="CW23" s="9490"/>
      <c r="CX23" s="9490"/>
      <c r="CY23" s="9490"/>
      <c r="CZ23" s="9490"/>
      <c r="DA23" s="9490"/>
      <c r="DB23" s="9490"/>
      <c r="DC23" s="9490"/>
      <c r="DD23" s="9490"/>
      <c r="DE23" s="9490"/>
      <c r="DF23" s="9490"/>
      <c r="DG23" s="9490"/>
      <c r="DH23" s="9490"/>
      <c r="DI23" s="9490"/>
      <c r="DJ23" s="9490"/>
      <c r="DK23" s="9490"/>
      <c r="DL23" s="9490"/>
      <c r="DM23" s="9490"/>
      <c r="DN23" s="9490"/>
      <c r="DO23" s="9490"/>
      <c r="DP23" s="9490"/>
    </row>
    <row customHeight="1" ht="24.75">
      <c r="Q24" s="598"/>
      <c r="R24" s="598"/>
      <c r="S24" s="24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21"/>
      <c r="U24" s="2421"/>
      <c r="V24" s="2421"/>
      <c r="W24" s="2421"/>
      <c r="X24" s="2421"/>
      <c r="Y24" s="2421"/>
      <c r="Z24" s="2421"/>
      <c r="AA24" s="2421"/>
      <c r="AB24" s="2421"/>
      <c r="AC24" s="2421"/>
      <c r="AD24" s="2421"/>
      <c r="AE24" s="2421"/>
      <c r="AF24" s="2421"/>
      <c r="AG24" s="2421"/>
      <c r="AH24" s="2421"/>
      <c r="AI24" s="2421"/>
      <c r="AJ24" s="2421"/>
      <c r="AK24" s="2421"/>
      <c r="AL24" s="2421"/>
      <c r="AM24" s="2421"/>
      <c r="AN24" s="2421"/>
      <c r="AO24" s="2421"/>
      <c r="AP24" s="2421"/>
      <c r="AQ24" s="1469"/>
      <c r="AR24" s="6629"/>
      <c r="AS24" s="6629"/>
      <c r="AT24" s="6629"/>
      <c r="AU24" s="6629"/>
      <c r="AV24" s="6629"/>
      <c r="AW24" s="6629"/>
      <c r="AX24" s="6629"/>
      <c r="AY24" s="6629"/>
      <c r="AZ24" s="6629"/>
      <c r="BA24" s="6629"/>
      <c r="BB24" s="6629"/>
      <c r="BC24" s="6629"/>
      <c r="BD24" s="6629"/>
      <c r="BE24" s="6629"/>
      <c r="BF24" s="6629"/>
      <c r="BG24" s="6629"/>
      <c r="BH24" s="6629"/>
      <c r="BI24" s="6629"/>
      <c r="BJ24" s="6629"/>
      <c r="BK24" s="6629"/>
      <c r="BL24" s="6629"/>
      <c r="BM24" s="6629"/>
      <c r="BN24" s="6629"/>
      <c r="BO24" s="6629"/>
      <c r="BP24" s="6629"/>
      <c r="BQ24" s="6629"/>
      <c r="BR24" s="6629"/>
      <c r="BS24" s="6629"/>
      <c r="BT24" s="6629"/>
      <c r="BU24" s="6629"/>
      <c r="BV24" s="6629"/>
      <c r="BW24" s="6629"/>
      <c r="BX24" s="6629"/>
      <c r="BY24" s="6629"/>
      <c r="BZ24" s="6629"/>
      <c r="CA24" s="6629"/>
      <c r="CB24" s="6629"/>
      <c r="CC24" s="6629"/>
      <c r="CD24" s="6629"/>
      <c r="CE24" s="6629"/>
      <c r="CF24" s="6629"/>
      <c r="CG24" s="6629"/>
      <c r="CH24" s="6629"/>
      <c r="CI24" s="6629"/>
      <c r="CJ24" s="6629"/>
      <c r="CK24" s="6629"/>
      <c r="CL24" s="6629"/>
      <c r="CM24" s="6629"/>
      <c r="CN24" s="6629"/>
      <c r="CO24" s="6629"/>
      <c r="CP24" s="6629"/>
      <c r="CQ24" s="6629"/>
      <c r="CR24" s="6629"/>
      <c r="CS24" s="6629"/>
      <c r="CT24" s="6629"/>
      <c r="CU24" s="9759"/>
      <c r="CV24" s="9759"/>
      <c r="CW24" s="9759"/>
      <c r="CX24" s="9759"/>
      <c r="CY24" s="9759"/>
      <c r="CZ24" s="9759"/>
      <c r="DA24" s="9759"/>
      <c r="DB24" s="9759"/>
      <c r="DC24" s="9759"/>
      <c r="DD24" s="9759"/>
      <c r="DE24" s="9759"/>
      <c r="DF24" s="9759"/>
      <c r="DG24" s="9759"/>
      <c r="DH24" s="9759"/>
      <c r="DI24" s="9759"/>
      <c r="DJ24" s="9759"/>
      <c r="DK24" s="9759"/>
      <c r="DL24" s="9759"/>
      <c r="DM24" s="9759"/>
      <c r="DN24" s="9759"/>
      <c r="DO24" s="9759"/>
      <c r="DP24" s="9759"/>
    </row>
    <row customHeight="1" ht="14.25">
      <c r="Q25" s="598"/>
      <c r="R25" s="598"/>
      <c r="S25" s="2422" t="str">
        <f>IF(org=0,"Не определено",org)</f>
        <v>КГУП "Примтеплоэнерго"</v>
      </c>
      <c r="T25" s="2422"/>
      <c r="U25" s="2422"/>
      <c r="V25" s="2422"/>
      <c r="W25" s="2422"/>
      <c r="X25" s="2422"/>
      <c r="Y25" s="2422"/>
      <c r="Z25" s="2422"/>
      <c r="AA25" s="2422"/>
      <c r="AB25" s="2422"/>
      <c r="AC25" s="2422"/>
      <c r="AD25" s="2422"/>
      <c r="AE25" s="2422"/>
      <c r="AF25" s="2422"/>
      <c r="AG25" s="2422"/>
      <c r="AH25" s="2422"/>
      <c r="AI25" s="2422"/>
      <c r="AJ25" s="2422"/>
      <c r="AK25" s="2422"/>
      <c r="AL25" s="2422"/>
      <c r="AM25" s="2422"/>
      <c r="AN25" s="2422"/>
      <c r="AO25" s="2422"/>
      <c r="AP25" s="2422"/>
      <c r="AQ25" s="1469"/>
      <c r="AR25" s="6630"/>
      <c r="AS25" s="6630"/>
      <c r="AT25" s="6630"/>
      <c r="AU25" s="6630"/>
      <c r="AV25" s="6630"/>
      <c r="AW25" s="6630"/>
      <c r="AX25" s="6630"/>
      <c r="AY25" s="6630"/>
      <c r="AZ25" s="6630"/>
      <c r="BA25" s="6630"/>
      <c r="BB25" s="6630"/>
      <c r="BC25" s="6630"/>
      <c r="BD25" s="6630"/>
      <c r="BE25" s="6630"/>
      <c r="BF25" s="6630"/>
      <c r="BG25" s="6630"/>
      <c r="BH25" s="6630"/>
      <c r="BI25" s="6630"/>
      <c r="BJ25" s="6630"/>
      <c r="BK25" s="6630"/>
      <c r="BL25" s="6630"/>
      <c r="BM25" s="6630"/>
      <c r="BN25" s="6630"/>
      <c r="BO25" s="6630"/>
      <c r="BP25" s="6630"/>
      <c r="BQ25" s="6630"/>
      <c r="BR25" s="6630"/>
      <c r="BS25" s="6630"/>
      <c r="BT25" s="6630"/>
      <c r="BU25" s="6630"/>
      <c r="BV25" s="6630"/>
      <c r="BW25" s="6630"/>
      <c r="BX25" s="6630"/>
      <c r="BY25" s="6630"/>
      <c r="BZ25" s="6630"/>
      <c r="CA25" s="6630"/>
      <c r="CB25" s="6630"/>
      <c r="CC25" s="6630"/>
      <c r="CD25" s="6630"/>
      <c r="CE25" s="6630"/>
      <c r="CF25" s="6630"/>
      <c r="CG25" s="6630"/>
      <c r="CH25" s="6630"/>
      <c r="CI25" s="6630"/>
      <c r="CJ25" s="6630"/>
      <c r="CK25" s="6630"/>
      <c r="CL25" s="6630"/>
      <c r="CM25" s="6630"/>
      <c r="CN25" s="6630"/>
      <c r="CO25" s="6630"/>
      <c r="CP25" s="6630"/>
      <c r="CQ25" s="6630"/>
      <c r="CR25" s="6630"/>
      <c r="CS25" s="6630"/>
      <c r="CT25" s="6630"/>
      <c r="CU25" s="9761"/>
      <c r="CV25" s="9761"/>
      <c r="CW25" s="9761"/>
      <c r="CX25" s="9761"/>
      <c r="CY25" s="9761"/>
      <c r="CZ25" s="9761"/>
      <c r="DA25" s="9761"/>
      <c r="DB25" s="9761"/>
      <c r="DC25" s="9761"/>
      <c r="DD25" s="9761"/>
      <c r="DE25" s="9761"/>
      <c r="DF25" s="9761"/>
      <c r="DG25" s="9761"/>
      <c r="DH25" s="9761"/>
      <c r="DI25" s="9761"/>
      <c r="DJ25" s="9761"/>
      <c r="DK25" s="9761"/>
      <c r="DL25" s="9761"/>
      <c r="DM25" s="9761"/>
      <c r="DN25" s="9761"/>
      <c r="DO25" s="9761"/>
      <c r="DP25" s="9761"/>
    </row>
    <row customHeight="1" ht="14.25" hidden="1">
      <c r="Q26" s="598"/>
      <c r="R26" s="598"/>
      <c r="S26" s="1502"/>
      <c r="T26" s="585"/>
      <c r="U26" s="585"/>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6631"/>
      <c r="AS26" s="6631"/>
      <c r="AT26" s="6631"/>
      <c r="AU26" s="6631"/>
      <c r="AV26" s="6631"/>
      <c r="AW26" s="6631"/>
      <c r="AX26" s="6631"/>
      <c r="AY26" s="6631"/>
      <c r="AZ26" s="6631"/>
      <c r="BA26" s="6631"/>
      <c r="BB26" s="6631"/>
      <c r="BC26" s="6631"/>
      <c r="BD26" s="6631"/>
      <c r="BE26" s="6631"/>
      <c r="BF26" s="6631"/>
      <c r="BG26" s="6631"/>
      <c r="BH26" s="6631"/>
      <c r="BI26" s="6631"/>
      <c r="BJ26" s="6631"/>
      <c r="BK26" s="6631"/>
      <c r="BL26" s="6631"/>
      <c r="BM26" s="6631"/>
      <c r="BN26" s="6631"/>
      <c r="BO26" s="6631"/>
      <c r="BP26" s="6631"/>
      <c r="BQ26" s="6631"/>
      <c r="BR26" s="6631"/>
      <c r="BS26" s="6631"/>
      <c r="BT26" s="6631"/>
      <c r="BU26" s="6631"/>
      <c r="BV26" s="6631"/>
      <c r="BW26" s="6631"/>
      <c r="BX26" s="6631"/>
      <c r="BY26" s="6631"/>
      <c r="BZ26" s="6631"/>
      <c r="CA26" s="6631"/>
      <c r="CB26" s="6631"/>
      <c r="CC26" s="6631"/>
      <c r="CD26" s="6631"/>
      <c r="CE26" s="6631"/>
      <c r="CF26" s="6631"/>
      <c r="CG26" s="6631"/>
      <c r="CH26" s="6631"/>
      <c r="CI26" s="6631"/>
      <c r="CJ26" s="6631"/>
      <c r="CK26" s="6631"/>
      <c r="CL26" s="6631"/>
      <c r="CM26" s="6631"/>
      <c r="CN26" s="6631"/>
      <c r="CO26" s="6631"/>
      <c r="CP26" s="6631"/>
      <c r="CQ26" s="6631"/>
      <c r="CR26" s="6631"/>
      <c r="CS26" s="6631"/>
      <c r="CT26" s="6631"/>
      <c r="CU26" s="9763"/>
      <c r="CV26" s="9763"/>
      <c r="CW26" s="9763"/>
      <c r="CX26" s="9763"/>
      <c r="CY26" s="9763"/>
      <c r="CZ26" s="9763"/>
      <c r="DA26" s="9763"/>
      <c r="DB26" s="9763"/>
      <c r="DC26" s="9763"/>
      <c r="DD26" s="9763"/>
      <c r="DE26" s="9763"/>
      <c r="DF26" s="9763"/>
      <c r="DG26" s="9763"/>
      <c r="DH26" s="9763"/>
      <c r="DI26" s="9763"/>
      <c r="DJ26" s="9763"/>
      <c r="DK26" s="9763"/>
      <c r="DL26" s="9763"/>
      <c r="DM26" s="9763"/>
      <c r="DN26" s="9763"/>
      <c r="DO26" s="9763"/>
      <c r="DP26" s="9763"/>
      <c r="DQ26" s="731"/>
    </row>
    <row s="16563" customFormat="1" customHeight="1" ht="25.5" hidden="1">
      <c r="A27" s="1595"/>
      <c r="B27" s="1595"/>
      <c r="C27" s="1595"/>
      <c r="D27" s="1595"/>
      <c r="E27" s="1595"/>
      <c r="F27" s="1595"/>
      <c r="G27" s="1595"/>
      <c r="H27" s="1595"/>
      <c r="I27" s="1595"/>
      <c r="J27" s="1595"/>
      <c r="K27" s="1595"/>
      <c r="L27" s="1596"/>
      <c r="M27" s="1595"/>
      <c r="N27" s="1595"/>
      <c r="O27" s="1595"/>
      <c r="S27" s="2379" t="s">
        <v>38</v>
      </c>
      <c r="T27" s="2379"/>
      <c r="U27" s="1599"/>
      <c r="V27" s="2381" t="str">
        <f>IF(TITLE_NAME_OR_PR_CHANGE="",IF(TITLE_NAME_OR_PR="","",TITLE_NAME_OR_PR),TITLE_NAME_OR_PR_CHANGE)</f>
        <v/>
      </c>
      <c r="W27" s="2381"/>
      <c r="X27" s="2381"/>
      <c r="Y27" s="2381"/>
      <c r="Z27" s="2381"/>
      <c r="AA27" s="2381"/>
      <c r="AB27" s="2381"/>
      <c r="AC27" s="2381"/>
      <c r="AD27" s="2381"/>
      <c r="AE27" s="2381"/>
      <c r="AF27" s="548"/>
      <c r="AG27" s="2381" t="str">
        <f>IF(TITLE_NAME_OR_PR_CHANGE="",IF(TITLE_NAME_OR_PR="","",TITLE_NAME_OR_PR),TITLE_NAME_OR_PR_CHANGE)</f>
        <v/>
      </c>
      <c r="AH27" s="2381"/>
      <c r="AI27" s="2381"/>
      <c r="AJ27" s="2381"/>
      <c r="AK27" s="2381"/>
      <c r="AL27" s="2381"/>
      <c r="AM27" s="2381"/>
      <c r="AN27" s="2381"/>
      <c r="AO27" s="2381"/>
      <c r="AP27" s="2381"/>
      <c r="AQ27" s="548"/>
      <c r="AR27" s="6632" t="str">
        <f>IF(TITLE_NAME_OR_PR_CHANGE="",IF(TITLE_NAME_OR_PR="","",TITLE_NAME_OR_PR),TITLE_NAME_OR_PR_CHANGE)</f>
        <v/>
      </c>
      <c r="AS27" s="6632"/>
      <c r="AT27" s="6632"/>
      <c r="AU27" s="6632"/>
      <c r="AV27" s="6632"/>
      <c r="AW27" s="6632"/>
      <c r="AX27" s="6632"/>
      <c r="AY27" s="6632"/>
      <c r="AZ27" s="6632"/>
      <c r="BA27" s="6632"/>
      <c r="BB27" s="6445"/>
      <c r="BC27" s="6632" t="str">
        <f>IF(TITLE_NAME_OR_PR_CHANGE="",IF(TITLE_NAME_OR_PR="","",TITLE_NAME_OR_PR),TITLE_NAME_OR_PR_CHANGE)</f>
        <v/>
      </c>
      <c r="BD27" s="6632"/>
      <c r="BE27" s="6632"/>
      <c r="BF27" s="6632"/>
      <c r="BG27" s="6632"/>
      <c r="BH27" s="6632"/>
      <c r="BI27" s="6632"/>
      <c r="BJ27" s="6632"/>
      <c r="BK27" s="6632"/>
      <c r="BL27" s="6632"/>
      <c r="BM27" s="6445"/>
      <c r="BN27" s="6632" t="str">
        <f>IF(TITLE_NAME_OR_PR_CHANGE="",IF(TITLE_NAME_OR_PR="","",TITLE_NAME_OR_PR),TITLE_NAME_OR_PR_CHANGE)</f>
        <v/>
      </c>
      <c r="BO27" s="6632"/>
      <c r="BP27" s="6632"/>
      <c r="BQ27" s="6632"/>
      <c r="BR27" s="6632"/>
      <c r="BS27" s="6632"/>
      <c r="BT27" s="6632"/>
      <c r="BU27" s="6632"/>
      <c r="BV27" s="6632"/>
      <c r="BW27" s="6632"/>
      <c r="BX27" s="6445"/>
      <c r="BY27" s="6632" t="str">
        <f>IF(TITLE_NAME_OR_PR_CHANGE="",IF(TITLE_NAME_OR_PR="","",TITLE_NAME_OR_PR),TITLE_NAME_OR_PR_CHANGE)</f>
        <v/>
      </c>
      <c r="BZ27" s="6632"/>
      <c r="CA27" s="6632"/>
      <c r="CB27" s="6632"/>
      <c r="CC27" s="6632"/>
      <c r="CD27" s="6632"/>
      <c r="CE27" s="6632"/>
      <c r="CF27" s="6632"/>
      <c r="CG27" s="6632"/>
      <c r="CH27" s="6632"/>
      <c r="CI27" s="6445"/>
      <c r="CJ27" s="6632" t="str">
        <f>IF(TITLE_NAME_OR_PR_CHANGE="",IF(TITLE_NAME_OR_PR="","",TITLE_NAME_OR_PR),TITLE_NAME_OR_PR_CHANGE)</f>
        <v/>
      </c>
      <c r="CK27" s="6632"/>
      <c r="CL27" s="6632"/>
      <c r="CM27" s="6632"/>
      <c r="CN27" s="6632"/>
      <c r="CO27" s="6632"/>
      <c r="CP27" s="6632"/>
      <c r="CQ27" s="6632"/>
      <c r="CR27" s="6632"/>
      <c r="CS27" s="6632"/>
      <c r="CT27" s="6445"/>
      <c r="CU27" s="9765" t="str">
        <f>IF(TITLE_NAME_OR_PR_CHANGE="",IF(TITLE_NAME_OR_PR="","",TITLE_NAME_OR_PR),TITLE_NAME_OR_PR_CHANGE)</f>
        <v/>
      </c>
      <c r="CV27" s="9765"/>
      <c r="CW27" s="9765"/>
      <c r="CX27" s="9765"/>
      <c r="CY27" s="9765"/>
      <c r="CZ27" s="9765"/>
      <c r="DA27" s="9765"/>
      <c r="DB27" s="9765"/>
      <c r="DC27" s="9765"/>
      <c r="DD27" s="9765"/>
      <c r="DE27" s="9490"/>
      <c r="DF27" s="9765" t="str">
        <f>IF(TITLE_NAME_OR_PR_CHANGE="",IF(TITLE_NAME_OR_PR="","",TITLE_NAME_OR_PR),TITLE_NAME_OR_PR_CHANGE)</f>
        <v/>
      </c>
      <c r="DG27" s="9765"/>
      <c r="DH27" s="9765"/>
      <c r="DI27" s="9765"/>
      <c r="DJ27" s="9765"/>
      <c r="DK27" s="9765"/>
      <c r="DL27" s="9765"/>
      <c r="DM27" s="9765"/>
      <c r="DN27" s="9765"/>
      <c r="DO27" s="9765"/>
      <c r="DP27" s="9490"/>
      <c r="DQ27" s="548"/>
      <c r="DR27" s="502"/>
      <c r="DS27" s="590"/>
      <c r="DT27" s="590"/>
      <c r="DU27" s="590"/>
      <c r="DV27" s="590"/>
      <c r="DW27" s="590"/>
    </row>
    <row s="16563" customFormat="1" customHeight="1" ht="18.75" hidden="1">
      <c r="A28" s="1595"/>
      <c r="B28" s="1595"/>
      <c r="C28" s="1595"/>
      <c r="D28" s="1595"/>
      <c r="E28" s="1595"/>
      <c r="F28" s="1595"/>
      <c r="G28" s="1595"/>
      <c r="H28" s="1595"/>
      <c r="I28" s="1595"/>
      <c r="J28" s="1595"/>
      <c r="K28" s="1595"/>
      <c r="L28" s="1596"/>
      <c r="M28" s="1595"/>
      <c r="N28" s="1595"/>
      <c r="O28" s="1595"/>
      <c r="S28" s="2379" t="s">
        <v>527</v>
      </c>
      <c r="T28" s="2379"/>
      <c r="U28" s="1599"/>
      <c r="V28" s="2380" t="str">
        <f>IF(TITLE_DATE_PR_CHANGE="",IF(TITLE_DATE_PR="","",TITLE_DATE_PR),TITLE_DATE_PR_CHANGE)</f>
        <v>45407.47206018519</v>
      </c>
      <c r="W28" s="2380"/>
      <c r="X28" s="2380"/>
      <c r="Y28" s="2380"/>
      <c r="Z28" s="2380"/>
      <c r="AA28" s="2380"/>
      <c r="AB28" s="2380"/>
      <c r="AC28" s="2380"/>
      <c r="AD28" s="2380"/>
      <c r="AE28" s="2380"/>
      <c r="AF28" s="548"/>
      <c r="AG28" s="2380" t="str">
        <f>IF(TITLE_DATE_PR_CHANGE="",IF(TITLE_DATE_PR="","",TITLE_DATE_PR),TITLE_DATE_PR_CHANGE)</f>
        <v>45407.47206018519</v>
      </c>
      <c r="AH28" s="2380"/>
      <c r="AI28" s="2380"/>
      <c r="AJ28" s="2380"/>
      <c r="AK28" s="2380"/>
      <c r="AL28" s="2380"/>
      <c r="AM28" s="2380"/>
      <c r="AN28" s="2380"/>
      <c r="AO28" s="2380"/>
      <c r="AP28" s="2380"/>
      <c r="AQ28" s="548"/>
      <c r="AR28" s="6633" t="str">
        <f>IF(TITLE_DATE_PR_CHANGE="",IF(TITLE_DATE_PR="","",TITLE_DATE_PR),TITLE_DATE_PR_CHANGE)</f>
        <v>45407.47206018519</v>
      </c>
      <c r="AS28" s="6633"/>
      <c r="AT28" s="6633"/>
      <c r="AU28" s="6633"/>
      <c r="AV28" s="6633"/>
      <c r="AW28" s="6633"/>
      <c r="AX28" s="6633"/>
      <c r="AY28" s="6633"/>
      <c r="AZ28" s="6633"/>
      <c r="BA28" s="6633"/>
      <c r="BB28" s="6445"/>
      <c r="BC28" s="6633" t="str">
        <f>IF(TITLE_DATE_PR_CHANGE="",IF(TITLE_DATE_PR="","",TITLE_DATE_PR),TITLE_DATE_PR_CHANGE)</f>
        <v>45407.47206018519</v>
      </c>
      <c r="BD28" s="6633"/>
      <c r="BE28" s="6633"/>
      <c r="BF28" s="6633"/>
      <c r="BG28" s="6633"/>
      <c r="BH28" s="6633"/>
      <c r="BI28" s="6633"/>
      <c r="BJ28" s="6633"/>
      <c r="BK28" s="6633"/>
      <c r="BL28" s="6633"/>
      <c r="BM28" s="6445"/>
      <c r="BN28" s="6633" t="str">
        <f>IF(TITLE_DATE_PR_CHANGE="",IF(TITLE_DATE_PR="","",TITLE_DATE_PR),TITLE_DATE_PR_CHANGE)</f>
        <v>45407.47206018519</v>
      </c>
      <c r="BO28" s="6633"/>
      <c r="BP28" s="6633"/>
      <c r="BQ28" s="6633"/>
      <c r="BR28" s="6633"/>
      <c r="BS28" s="6633"/>
      <c r="BT28" s="6633"/>
      <c r="BU28" s="6633"/>
      <c r="BV28" s="6633"/>
      <c r="BW28" s="6633"/>
      <c r="BX28" s="6445"/>
      <c r="BY28" s="6633" t="str">
        <f>IF(TITLE_DATE_PR_CHANGE="",IF(TITLE_DATE_PR="","",TITLE_DATE_PR),TITLE_DATE_PR_CHANGE)</f>
        <v>45407.47206018519</v>
      </c>
      <c r="BZ28" s="6633"/>
      <c r="CA28" s="6633"/>
      <c r="CB28" s="6633"/>
      <c r="CC28" s="6633"/>
      <c r="CD28" s="6633"/>
      <c r="CE28" s="6633"/>
      <c r="CF28" s="6633"/>
      <c r="CG28" s="6633"/>
      <c r="CH28" s="6633"/>
      <c r="CI28" s="6445"/>
      <c r="CJ28" s="6633" t="str">
        <f>IF(TITLE_DATE_PR_CHANGE="",IF(TITLE_DATE_PR="","",TITLE_DATE_PR),TITLE_DATE_PR_CHANGE)</f>
        <v>45407.47206018519</v>
      </c>
      <c r="CK28" s="6633"/>
      <c r="CL28" s="6633"/>
      <c r="CM28" s="6633"/>
      <c r="CN28" s="6633"/>
      <c r="CO28" s="6633"/>
      <c r="CP28" s="6633"/>
      <c r="CQ28" s="6633"/>
      <c r="CR28" s="6633"/>
      <c r="CS28" s="6633"/>
      <c r="CT28" s="6445"/>
      <c r="CU28" s="9767" t="str">
        <f>IF(TITLE_DATE_PR_CHANGE="",IF(TITLE_DATE_PR="","",TITLE_DATE_PR),TITLE_DATE_PR_CHANGE)</f>
        <v>45407.47206018519</v>
      </c>
      <c r="CV28" s="9767"/>
      <c r="CW28" s="9767"/>
      <c r="CX28" s="9767"/>
      <c r="CY28" s="9767"/>
      <c r="CZ28" s="9767"/>
      <c r="DA28" s="9767"/>
      <c r="DB28" s="9767"/>
      <c r="DC28" s="9767"/>
      <c r="DD28" s="9767"/>
      <c r="DE28" s="9490"/>
      <c r="DF28" s="9767" t="str">
        <f>IF(TITLE_DATE_PR_CHANGE="",IF(TITLE_DATE_PR="","",TITLE_DATE_PR),TITLE_DATE_PR_CHANGE)</f>
        <v>45407.47206018519</v>
      </c>
      <c r="DG28" s="9767"/>
      <c r="DH28" s="9767"/>
      <c r="DI28" s="9767"/>
      <c r="DJ28" s="9767"/>
      <c r="DK28" s="9767"/>
      <c r="DL28" s="9767"/>
      <c r="DM28" s="9767"/>
      <c r="DN28" s="9767"/>
      <c r="DO28" s="9767"/>
      <c r="DP28" s="9490"/>
      <c r="DQ28" s="548"/>
      <c r="DR28" s="502"/>
      <c r="DS28" s="590"/>
      <c r="DT28" s="590"/>
      <c r="DU28" s="590"/>
      <c r="DV28" s="590"/>
      <c r="DW28" s="590"/>
    </row>
    <row s="16563" customFormat="1" customHeight="1" ht="18.75" hidden="1">
      <c r="A29" s="1595"/>
      <c r="B29" s="1595"/>
      <c r="C29" s="1595"/>
      <c r="D29" s="1595"/>
      <c r="E29" s="1595"/>
      <c r="F29" s="1595"/>
      <c r="G29" s="1595"/>
      <c r="H29" s="1595"/>
      <c r="I29" s="1595"/>
      <c r="J29" s="1595"/>
      <c r="K29" s="1595"/>
      <c r="L29" s="1596"/>
      <c r="M29" s="1595"/>
      <c r="N29" s="1595"/>
      <c r="O29" s="1595"/>
      <c r="S29" s="2379" t="s">
        <v>528</v>
      </c>
      <c r="T29" s="2379"/>
      <c r="U29" s="1599"/>
      <c r="V29" s="2381" t="str">
        <f>IF(TITLE_NUMBER_PR_CHANGE="",IF(TITLE_NUMBER_PR="","",TITLE_NUMBER_PR),TITLE_NUMBER_PR_CHANGE)</f>
        <v>27-2067</v>
      </c>
      <c r="W29" s="2381"/>
      <c r="X29" s="2381"/>
      <c r="Y29" s="2381"/>
      <c r="Z29" s="2381"/>
      <c r="AA29" s="2381"/>
      <c r="AB29" s="2381"/>
      <c r="AC29" s="2381"/>
      <c r="AD29" s="2381"/>
      <c r="AE29" s="2381"/>
      <c r="AF29" s="548"/>
      <c r="AG29" s="2381" t="str">
        <f>IF(TITLE_NUMBER_PR_CHANGE="",IF(TITLE_NUMBER_PR="","",TITLE_NUMBER_PR),TITLE_NUMBER_PR_CHANGE)</f>
        <v>27-2067</v>
      </c>
      <c r="AH29" s="2381"/>
      <c r="AI29" s="2381"/>
      <c r="AJ29" s="2381"/>
      <c r="AK29" s="2381"/>
      <c r="AL29" s="2381"/>
      <c r="AM29" s="2381"/>
      <c r="AN29" s="2381"/>
      <c r="AO29" s="2381"/>
      <c r="AP29" s="2381"/>
      <c r="AQ29" s="548"/>
      <c r="AR29" s="6632" t="str">
        <f>IF(TITLE_NUMBER_PR_CHANGE="",IF(TITLE_NUMBER_PR="","",TITLE_NUMBER_PR),TITLE_NUMBER_PR_CHANGE)</f>
        <v>27-2067</v>
      </c>
      <c r="AS29" s="6632"/>
      <c r="AT29" s="6632"/>
      <c r="AU29" s="6632"/>
      <c r="AV29" s="6632"/>
      <c r="AW29" s="6632"/>
      <c r="AX29" s="6632"/>
      <c r="AY29" s="6632"/>
      <c r="AZ29" s="6632"/>
      <c r="BA29" s="6632"/>
      <c r="BB29" s="6445"/>
      <c r="BC29" s="6632" t="str">
        <f>IF(TITLE_NUMBER_PR_CHANGE="",IF(TITLE_NUMBER_PR="","",TITLE_NUMBER_PR),TITLE_NUMBER_PR_CHANGE)</f>
        <v>27-2067</v>
      </c>
      <c r="BD29" s="6632"/>
      <c r="BE29" s="6632"/>
      <c r="BF29" s="6632"/>
      <c r="BG29" s="6632"/>
      <c r="BH29" s="6632"/>
      <c r="BI29" s="6632"/>
      <c r="BJ29" s="6632"/>
      <c r="BK29" s="6632"/>
      <c r="BL29" s="6632"/>
      <c r="BM29" s="6445"/>
      <c r="BN29" s="6632" t="str">
        <f>IF(TITLE_NUMBER_PR_CHANGE="",IF(TITLE_NUMBER_PR="","",TITLE_NUMBER_PR),TITLE_NUMBER_PR_CHANGE)</f>
        <v>27-2067</v>
      </c>
      <c r="BO29" s="6632"/>
      <c r="BP29" s="6632"/>
      <c r="BQ29" s="6632"/>
      <c r="BR29" s="6632"/>
      <c r="BS29" s="6632"/>
      <c r="BT29" s="6632"/>
      <c r="BU29" s="6632"/>
      <c r="BV29" s="6632"/>
      <c r="BW29" s="6632"/>
      <c r="BX29" s="6445"/>
      <c r="BY29" s="6632" t="str">
        <f>IF(TITLE_NUMBER_PR_CHANGE="",IF(TITLE_NUMBER_PR="","",TITLE_NUMBER_PR),TITLE_NUMBER_PR_CHANGE)</f>
        <v>27-2067</v>
      </c>
      <c r="BZ29" s="6632"/>
      <c r="CA29" s="6632"/>
      <c r="CB29" s="6632"/>
      <c r="CC29" s="6632"/>
      <c r="CD29" s="6632"/>
      <c r="CE29" s="6632"/>
      <c r="CF29" s="6632"/>
      <c r="CG29" s="6632"/>
      <c r="CH29" s="6632"/>
      <c r="CI29" s="6445"/>
      <c r="CJ29" s="6632" t="str">
        <f>IF(TITLE_NUMBER_PR_CHANGE="",IF(TITLE_NUMBER_PR="","",TITLE_NUMBER_PR),TITLE_NUMBER_PR_CHANGE)</f>
        <v>27-2067</v>
      </c>
      <c r="CK29" s="6632"/>
      <c r="CL29" s="6632"/>
      <c r="CM29" s="6632"/>
      <c r="CN29" s="6632"/>
      <c r="CO29" s="6632"/>
      <c r="CP29" s="6632"/>
      <c r="CQ29" s="6632"/>
      <c r="CR29" s="6632"/>
      <c r="CS29" s="6632"/>
      <c r="CT29" s="6445"/>
      <c r="CU29" s="9765" t="str">
        <f>IF(TITLE_NUMBER_PR_CHANGE="",IF(TITLE_NUMBER_PR="","",TITLE_NUMBER_PR),TITLE_NUMBER_PR_CHANGE)</f>
        <v>27-2067</v>
      </c>
      <c r="CV29" s="9765"/>
      <c r="CW29" s="9765"/>
      <c r="CX29" s="9765"/>
      <c r="CY29" s="9765"/>
      <c r="CZ29" s="9765"/>
      <c r="DA29" s="9765"/>
      <c r="DB29" s="9765"/>
      <c r="DC29" s="9765"/>
      <c r="DD29" s="9765"/>
      <c r="DE29" s="9490"/>
      <c r="DF29" s="9765" t="str">
        <f>IF(TITLE_NUMBER_PR_CHANGE="",IF(TITLE_NUMBER_PR="","",TITLE_NUMBER_PR),TITLE_NUMBER_PR_CHANGE)</f>
        <v>27-2067</v>
      </c>
      <c r="DG29" s="9765"/>
      <c r="DH29" s="9765"/>
      <c r="DI29" s="9765"/>
      <c r="DJ29" s="9765"/>
      <c r="DK29" s="9765"/>
      <c r="DL29" s="9765"/>
      <c r="DM29" s="9765"/>
      <c r="DN29" s="9765"/>
      <c r="DO29" s="9765"/>
      <c r="DP29" s="9490"/>
      <c r="DQ29" s="548"/>
      <c r="DR29" s="502"/>
      <c r="DS29" s="590"/>
      <c r="DT29" s="590"/>
      <c r="DU29" s="590"/>
      <c r="DV29" s="590"/>
      <c r="DW29" s="590"/>
    </row>
    <row s="16563" customFormat="1" customHeight="1" ht="18.75" hidden="1">
      <c r="A30" s="1595"/>
      <c r="B30" s="1595"/>
      <c r="C30" s="1595"/>
      <c r="D30" s="1595"/>
      <c r="E30" s="1595"/>
      <c r="F30" s="1595"/>
      <c r="G30" s="1595"/>
      <c r="H30" s="1595"/>
      <c r="I30" s="1595"/>
      <c r="J30" s="1595"/>
      <c r="K30" s="1595"/>
      <c r="L30" s="1596"/>
      <c r="M30" s="1595"/>
      <c r="N30" s="1595"/>
      <c r="O30" s="1595"/>
      <c r="S30" s="2379" t="s">
        <v>39</v>
      </c>
      <c r="T30" s="2379"/>
      <c r="U30" s="1599"/>
      <c r="V30" s="2381" t="str">
        <f>IF(TITLE_IST_PUB_CHANGE="",IF(TITLE_IST_PUB="","",TITLE_IST_PUB),TITLE_IST_PUB_CHANGE)</f>
        <v/>
      </c>
      <c r="W30" s="2381"/>
      <c r="X30" s="2381"/>
      <c r="Y30" s="2381"/>
      <c r="Z30" s="2381"/>
      <c r="AA30" s="2381"/>
      <c r="AB30" s="2381"/>
      <c r="AC30" s="2381"/>
      <c r="AD30" s="2381"/>
      <c r="AE30" s="2381"/>
      <c r="AF30" s="548"/>
      <c r="AG30" s="2381" t="str">
        <f>IF(TITLE_IST_PUB_CHANGE="",IF(TITLE_IST_PUB="","",TITLE_IST_PUB),TITLE_IST_PUB_CHANGE)</f>
        <v/>
      </c>
      <c r="AH30" s="2381"/>
      <c r="AI30" s="2381"/>
      <c r="AJ30" s="2381"/>
      <c r="AK30" s="2381"/>
      <c r="AL30" s="2381"/>
      <c r="AM30" s="2381"/>
      <c r="AN30" s="2381"/>
      <c r="AO30" s="2381"/>
      <c r="AP30" s="2381"/>
      <c r="AQ30" s="548"/>
      <c r="AR30" s="6632" t="str">
        <f>IF(TITLE_IST_PUB_CHANGE="",IF(TITLE_IST_PUB="","",TITLE_IST_PUB),TITLE_IST_PUB_CHANGE)</f>
        <v/>
      </c>
      <c r="AS30" s="6632"/>
      <c r="AT30" s="6632"/>
      <c r="AU30" s="6632"/>
      <c r="AV30" s="6632"/>
      <c r="AW30" s="6632"/>
      <c r="AX30" s="6632"/>
      <c r="AY30" s="6632"/>
      <c r="AZ30" s="6632"/>
      <c r="BA30" s="6632"/>
      <c r="BB30" s="6445"/>
      <c r="BC30" s="6632" t="str">
        <f>IF(TITLE_IST_PUB_CHANGE="",IF(TITLE_IST_PUB="","",TITLE_IST_PUB),TITLE_IST_PUB_CHANGE)</f>
        <v/>
      </c>
      <c r="BD30" s="6632"/>
      <c r="BE30" s="6632"/>
      <c r="BF30" s="6632"/>
      <c r="BG30" s="6632"/>
      <c r="BH30" s="6632"/>
      <c r="BI30" s="6632"/>
      <c r="BJ30" s="6632"/>
      <c r="BK30" s="6632"/>
      <c r="BL30" s="6632"/>
      <c r="BM30" s="6445"/>
      <c r="BN30" s="6632" t="str">
        <f>IF(TITLE_IST_PUB_CHANGE="",IF(TITLE_IST_PUB="","",TITLE_IST_PUB),TITLE_IST_PUB_CHANGE)</f>
        <v/>
      </c>
      <c r="BO30" s="6632"/>
      <c r="BP30" s="6632"/>
      <c r="BQ30" s="6632"/>
      <c r="BR30" s="6632"/>
      <c r="BS30" s="6632"/>
      <c r="BT30" s="6632"/>
      <c r="BU30" s="6632"/>
      <c r="BV30" s="6632"/>
      <c r="BW30" s="6632"/>
      <c r="BX30" s="6445"/>
      <c r="BY30" s="6632" t="str">
        <f>IF(TITLE_IST_PUB_CHANGE="",IF(TITLE_IST_PUB="","",TITLE_IST_PUB),TITLE_IST_PUB_CHANGE)</f>
        <v/>
      </c>
      <c r="BZ30" s="6632"/>
      <c r="CA30" s="6632"/>
      <c r="CB30" s="6632"/>
      <c r="CC30" s="6632"/>
      <c r="CD30" s="6632"/>
      <c r="CE30" s="6632"/>
      <c r="CF30" s="6632"/>
      <c r="CG30" s="6632"/>
      <c r="CH30" s="6632"/>
      <c r="CI30" s="6445"/>
      <c r="CJ30" s="6632" t="str">
        <f>IF(TITLE_IST_PUB_CHANGE="",IF(TITLE_IST_PUB="","",TITLE_IST_PUB),TITLE_IST_PUB_CHANGE)</f>
        <v/>
      </c>
      <c r="CK30" s="6632"/>
      <c r="CL30" s="6632"/>
      <c r="CM30" s="6632"/>
      <c r="CN30" s="6632"/>
      <c r="CO30" s="6632"/>
      <c r="CP30" s="6632"/>
      <c r="CQ30" s="6632"/>
      <c r="CR30" s="6632"/>
      <c r="CS30" s="6632"/>
      <c r="CT30" s="6445"/>
      <c r="CU30" s="9765" t="str">
        <f>IF(TITLE_IST_PUB_CHANGE="",IF(TITLE_IST_PUB="","",TITLE_IST_PUB),TITLE_IST_PUB_CHANGE)</f>
        <v/>
      </c>
      <c r="CV30" s="9765"/>
      <c r="CW30" s="9765"/>
      <c r="CX30" s="9765"/>
      <c r="CY30" s="9765"/>
      <c r="CZ30" s="9765"/>
      <c r="DA30" s="9765"/>
      <c r="DB30" s="9765"/>
      <c r="DC30" s="9765"/>
      <c r="DD30" s="9765"/>
      <c r="DE30" s="9490"/>
      <c r="DF30" s="9765" t="str">
        <f>IF(TITLE_IST_PUB_CHANGE="",IF(TITLE_IST_PUB="","",TITLE_IST_PUB),TITLE_IST_PUB_CHANGE)</f>
        <v/>
      </c>
      <c r="DG30" s="9765"/>
      <c r="DH30" s="9765"/>
      <c r="DI30" s="9765"/>
      <c r="DJ30" s="9765"/>
      <c r="DK30" s="9765"/>
      <c r="DL30" s="9765"/>
      <c r="DM30" s="9765"/>
      <c r="DN30" s="9765"/>
      <c r="DO30" s="9765"/>
      <c r="DP30" s="9490"/>
      <c r="DQ30" s="548"/>
      <c r="DR30" s="502"/>
      <c r="DS30" s="590"/>
      <c r="DT30" s="590"/>
      <c r="DU30" s="590"/>
      <c r="DV30" s="590"/>
      <c r="DW30" s="590"/>
    </row>
    <row customHeight="1" ht="14.25">
      <c r="Q31" s="598"/>
      <c r="R31" s="598"/>
      <c r="S31" s="1502"/>
      <c r="T31" s="585"/>
      <c r="U31" s="585"/>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6631"/>
      <c r="AS31" s="6631"/>
      <c r="AT31" s="6631"/>
      <c r="AU31" s="6631"/>
      <c r="AV31" s="6631"/>
      <c r="AW31" s="6631"/>
      <c r="AX31" s="6631"/>
      <c r="AY31" s="6631"/>
      <c r="AZ31" s="6631"/>
      <c r="BA31" s="6631"/>
      <c r="BB31" s="6631"/>
      <c r="BC31" s="6631"/>
      <c r="BD31" s="6631"/>
      <c r="BE31" s="6631"/>
      <c r="BF31" s="6631"/>
      <c r="BG31" s="6631"/>
      <c r="BH31" s="6631"/>
      <c r="BI31" s="6631"/>
      <c r="BJ31" s="6631"/>
      <c r="BK31" s="6631"/>
      <c r="BL31" s="6631"/>
      <c r="BM31" s="6631"/>
      <c r="BN31" s="6631"/>
      <c r="BO31" s="6631"/>
      <c r="BP31" s="6631"/>
      <c r="BQ31" s="6631"/>
      <c r="BR31" s="6631"/>
      <c r="BS31" s="6631"/>
      <c r="BT31" s="6631"/>
      <c r="BU31" s="6631"/>
      <c r="BV31" s="6631"/>
      <c r="BW31" s="6631"/>
      <c r="BX31" s="6631"/>
      <c r="BY31" s="6631"/>
      <c r="BZ31" s="6631"/>
      <c r="CA31" s="6631"/>
      <c r="CB31" s="6631"/>
      <c r="CC31" s="6631"/>
      <c r="CD31" s="6631"/>
      <c r="CE31" s="6631"/>
      <c r="CF31" s="6631"/>
      <c r="CG31" s="6631"/>
      <c r="CH31" s="6631"/>
      <c r="CI31" s="6631"/>
      <c r="CJ31" s="6631"/>
      <c r="CK31" s="6631"/>
      <c r="CL31" s="6631"/>
      <c r="CM31" s="6631"/>
      <c r="CN31" s="6631"/>
      <c r="CO31" s="6631"/>
      <c r="CP31" s="6631"/>
      <c r="CQ31" s="6631"/>
      <c r="CR31" s="6631"/>
      <c r="CS31" s="6631"/>
      <c r="CT31" s="6631"/>
      <c r="CU31" s="9763"/>
      <c r="CV31" s="9763"/>
      <c r="CW31" s="9763"/>
      <c r="CX31" s="9763"/>
      <c r="CY31" s="9763"/>
      <c r="CZ31" s="9763"/>
      <c r="DA31" s="9763"/>
      <c r="DB31" s="9763"/>
      <c r="DC31" s="9763"/>
      <c r="DD31" s="9763"/>
      <c r="DE31" s="9763"/>
      <c r="DF31" s="9763"/>
      <c r="DG31" s="9763"/>
      <c r="DH31" s="9763"/>
      <c r="DI31" s="9763"/>
      <c r="DJ31" s="9763"/>
      <c r="DK31" s="9763"/>
      <c r="DL31" s="9763"/>
      <c r="DM31" s="9763"/>
      <c r="DN31" s="9763"/>
      <c r="DO31" s="9763"/>
      <c r="DP31" s="9763"/>
      <c r="DQ31" s="731"/>
    </row>
    <row s="16563" customFormat="1" customHeight="1" ht="18.75">
      <c r="A32" s="1595"/>
      <c r="B32" s="1595"/>
      <c r="C32" s="1595"/>
      <c r="D32" s="1595"/>
      <c r="E32" s="1595"/>
      <c r="F32" s="1595"/>
      <c r="G32" s="1595"/>
      <c r="H32" s="1595"/>
      <c r="I32" s="1595"/>
      <c r="J32" s="1595"/>
      <c r="K32" s="1595"/>
      <c r="L32" s="1596"/>
      <c r="M32" s="1595"/>
      <c r="N32" s="1595"/>
      <c r="O32" s="1595"/>
      <c r="S32" s="2379" t="s">
        <v>529</v>
      </c>
      <c r="T32" s="2379"/>
      <c r="U32" s="1599"/>
      <c r="V32" s="2380" t="str">
        <f>IF(TITLE_DATE_PR_CHANGE="",IF(TITLE_DATE_PR="","",TITLE_DATE_PR),TITLE_DATE_PR_CHANGE)</f>
        <v>45407.47206018519</v>
      </c>
      <c r="W32" s="2380"/>
      <c r="X32" s="2380"/>
      <c r="Y32" s="2380"/>
      <c r="Z32" s="2380"/>
      <c r="AA32" s="2380"/>
      <c r="AB32" s="2380"/>
      <c r="AC32" s="2380"/>
      <c r="AD32" s="2380"/>
      <c r="AE32" s="2380"/>
      <c r="AF32" s="548"/>
      <c r="AG32" s="2380" t="str">
        <f>IF(TITLE_DATE_PR_CHANGE="",IF(TITLE_DATE_PR="","",TITLE_DATE_PR),TITLE_DATE_PR_CHANGE)</f>
        <v>45407.47206018519</v>
      </c>
      <c r="AH32" s="2380"/>
      <c r="AI32" s="2380"/>
      <c r="AJ32" s="2380"/>
      <c r="AK32" s="2380"/>
      <c r="AL32" s="2380"/>
      <c r="AM32" s="2380"/>
      <c r="AN32" s="2380"/>
      <c r="AO32" s="2380"/>
      <c r="AP32" s="2380"/>
      <c r="AQ32" s="548"/>
      <c r="AR32" s="6633" t="str">
        <f>IF(TITLE_DATE_PR_CHANGE="",IF(TITLE_DATE_PR="","",TITLE_DATE_PR),TITLE_DATE_PR_CHANGE)</f>
        <v>45407.47206018519</v>
      </c>
      <c r="AS32" s="6633"/>
      <c r="AT32" s="6633"/>
      <c r="AU32" s="6633"/>
      <c r="AV32" s="6633"/>
      <c r="AW32" s="6633"/>
      <c r="AX32" s="6633"/>
      <c r="AY32" s="6633"/>
      <c r="AZ32" s="6633"/>
      <c r="BA32" s="6633"/>
      <c r="BB32" s="6445"/>
      <c r="BC32" s="6633" t="str">
        <f>IF(TITLE_DATE_PR_CHANGE="",IF(TITLE_DATE_PR="","",TITLE_DATE_PR),TITLE_DATE_PR_CHANGE)</f>
        <v>45407.47206018519</v>
      </c>
      <c r="BD32" s="6633"/>
      <c r="BE32" s="6633"/>
      <c r="BF32" s="6633"/>
      <c r="BG32" s="6633"/>
      <c r="BH32" s="6633"/>
      <c r="BI32" s="6633"/>
      <c r="BJ32" s="6633"/>
      <c r="BK32" s="6633"/>
      <c r="BL32" s="6633"/>
      <c r="BM32" s="6445"/>
      <c r="BN32" s="6633" t="str">
        <f>IF(TITLE_DATE_PR_CHANGE="",IF(TITLE_DATE_PR="","",TITLE_DATE_PR),TITLE_DATE_PR_CHANGE)</f>
        <v>45407.47206018519</v>
      </c>
      <c r="BO32" s="6633"/>
      <c r="BP32" s="6633"/>
      <c r="BQ32" s="6633"/>
      <c r="BR32" s="6633"/>
      <c r="BS32" s="6633"/>
      <c r="BT32" s="6633"/>
      <c r="BU32" s="6633"/>
      <c r="BV32" s="6633"/>
      <c r="BW32" s="6633"/>
      <c r="BX32" s="6445"/>
      <c r="BY32" s="6633" t="str">
        <f>IF(TITLE_DATE_PR_CHANGE="",IF(TITLE_DATE_PR="","",TITLE_DATE_PR),TITLE_DATE_PR_CHANGE)</f>
        <v>45407.47206018519</v>
      </c>
      <c r="BZ32" s="6633"/>
      <c r="CA32" s="6633"/>
      <c r="CB32" s="6633"/>
      <c r="CC32" s="6633"/>
      <c r="CD32" s="6633"/>
      <c r="CE32" s="6633"/>
      <c r="CF32" s="6633"/>
      <c r="CG32" s="6633"/>
      <c r="CH32" s="6633"/>
      <c r="CI32" s="6445"/>
      <c r="CJ32" s="6633" t="str">
        <f>IF(TITLE_DATE_PR_CHANGE="",IF(TITLE_DATE_PR="","",TITLE_DATE_PR),TITLE_DATE_PR_CHANGE)</f>
        <v>45407.47206018519</v>
      </c>
      <c r="CK32" s="6633"/>
      <c r="CL32" s="6633"/>
      <c r="CM32" s="6633"/>
      <c r="CN32" s="6633"/>
      <c r="CO32" s="6633"/>
      <c r="CP32" s="6633"/>
      <c r="CQ32" s="6633"/>
      <c r="CR32" s="6633"/>
      <c r="CS32" s="6633"/>
      <c r="CT32" s="6445"/>
      <c r="CU32" s="9767" t="str">
        <f>IF(TITLE_DATE_PR_CHANGE="",IF(TITLE_DATE_PR="","",TITLE_DATE_PR),TITLE_DATE_PR_CHANGE)</f>
        <v>45407.47206018519</v>
      </c>
      <c r="CV32" s="9767"/>
      <c r="CW32" s="9767"/>
      <c r="CX32" s="9767"/>
      <c r="CY32" s="9767"/>
      <c r="CZ32" s="9767"/>
      <c r="DA32" s="9767"/>
      <c r="DB32" s="9767"/>
      <c r="DC32" s="9767"/>
      <c r="DD32" s="9767"/>
      <c r="DE32" s="9490"/>
      <c r="DF32" s="9767" t="str">
        <f>IF(TITLE_DATE_PR_CHANGE="",IF(TITLE_DATE_PR="","",TITLE_DATE_PR),TITLE_DATE_PR_CHANGE)</f>
        <v>45407.47206018519</v>
      </c>
      <c r="DG32" s="9767"/>
      <c r="DH32" s="9767"/>
      <c r="DI32" s="9767"/>
      <c r="DJ32" s="9767"/>
      <c r="DK32" s="9767"/>
      <c r="DL32" s="9767"/>
      <c r="DM32" s="9767"/>
      <c r="DN32" s="9767"/>
      <c r="DO32" s="9767"/>
      <c r="DP32" s="9490"/>
      <c r="DQ32" s="548"/>
      <c r="DR32" s="502"/>
      <c r="DS32" s="590"/>
      <c r="DT32" s="590"/>
      <c r="DU32" s="590"/>
      <c r="DV32" s="590"/>
      <c r="DW32" s="590"/>
    </row>
    <row s="16563" customFormat="1" customHeight="1" ht="18.75">
      <c r="A33" s="1595"/>
      <c r="B33" s="1595"/>
      <c r="C33" s="1595"/>
      <c r="D33" s="1595"/>
      <c r="E33" s="1595"/>
      <c r="F33" s="1595"/>
      <c r="G33" s="1595"/>
      <c r="H33" s="1595"/>
      <c r="I33" s="1595"/>
      <c r="J33" s="1595"/>
      <c r="K33" s="1595"/>
      <c r="L33" s="1596"/>
      <c r="M33" s="1595"/>
      <c r="N33" s="1595"/>
      <c r="O33" s="1595"/>
      <c r="S33" s="2379" t="s">
        <v>530</v>
      </c>
      <c r="T33" s="2379"/>
      <c r="U33" s="1599"/>
      <c r="V33" s="2381" t="str">
        <f>IF(TITLE_NUMBER_PR_CHANGE="",IF(TITLE_NUMBER_PR="","",TITLE_NUMBER_PR),TITLE_NUMBER_PR_CHANGE)</f>
        <v>27-2067</v>
      </c>
      <c r="W33" s="2381"/>
      <c r="X33" s="2381"/>
      <c r="Y33" s="2381"/>
      <c r="Z33" s="2381"/>
      <c r="AA33" s="2381"/>
      <c r="AB33" s="2381"/>
      <c r="AC33" s="2381"/>
      <c r="AD33" s="2381"/>
      <c r="AE33" s="2381"/>
      <c r="AF33" s="548"/>
      <c r="AG33" s="2381" t="str">
        <f>IF(TITLE_NUMBER_PR_CHANGE="",IF(TITLE_NUMBER_PR="","",TITLE_NUMBER_PR),TITLE_NUMBER_PR_CHANGE)</f>
        <v>27-2067</v>
      </c>
      <c r="AH33" s="2381"/>
      <c r="AI33" s="2381"/>
      <c r="AJ33" s="2381"/>
      <c r="AK33" s="2381"/>
      <c r="AL33" s="2381"/>
      <c r="AM33" s="2381"/>
      <c r="AN33" s="2381"/>
      <c r="AO33" s="2381"/>
      <c r="AP33" s="2381"/>
      <c r="AQ33" s="548"/>
      <c r="AR33" s="6632" t="str">
        <f>IF(TITLE_NUMBER_PR_CHANGE="",IF(TITLE_NUMBER_PR="","",TITLE_NUMBER_PR),TITLE_NUMBER_PR_CHANGE)</f>
        <v>27-2067</v>
      </c>
      <c r="AS33" s="6632"/>
      <c r="AT33" s="6632"/>
      <c r="AU33" s="6632"/>
      <c r="AV33" s="6632"/>
      <c r="AW33" s="6632"/>
      <c r="AX33" s="6632"/>
      <c r="AY33" s="6632"/>
      <c r="AZ33" s="6632"/>
      <c r="BA33" s="6632"/>
      <c r="BB33" s="6445"/>
      <c r="BC33" s="6632" t="str">
        <f>IF(TITLE_NUMBER_PR_CHANGE="",IF(TITLE_NUMBER_PR="","",TITLE_NUMBER_PR),TITLE_NUMBER_PR_CHANGE)</f>
        <v>27-2067</v>
      </c>
      <c r="BD33" s="6632"/>
      <c r="BE33" s="6632"/>
      <c r="BF33" s="6632"/>
      <c r="BG33" s="6632"/>
      <c r="BH33" s="6632"/>
      <c r="BI33" s="6632"/>
      <c r="BJ33" s="6632"/>
      <c r="BK33" s="6632"/>
      <c r="BL33" s="6632"/>
      <c r="BM33" s="6445"/>
      <c r="BN33" s="6632" t="str">
        <f>IF(TITLE_NUMBER_PR_CHANGE="",IF(TITLE_NUMBER_PR="","",TITLE_NUMBER_PR),TITLE_NUMBER_PR_CHANGE)</f>
        <v>27-2067</v>
      </c>
      <c r="BO33" s="6632"/>
      <c r="BP33" s="6632"/>
      <c r="BQ33" s="6632"/>
      <c r="BR33" s="6632"/>
      <c r="BS33" s="6632"/>
      <c r="BT33" s="6632"/>
      <c r="BU33" s="6632"/>
      <c r="BV33" s="6632"/>
      <c r="BW33" s="6632"/>
      <c r="BX33" s="6445"/>
      <c r="BY33" s="6632" t="str">
        <f>IF(TITLE_NUMBER_PR_CHANGE="",IF(TITLE_NUMBER_PR="","",TITLE_NUMBER_PR),TITLE_NUMBER_PR_CHANGE)</f>
        <v>27-2067</v>
      </c>
      <c r="BZ33" s="6632"/>
      <c r="CA33" s="6632"/>
      <c r="CB33" s="6632"/>
      <c r="CC33" s="6632"/>
      <c r="CD33" s="6632"/>
      <c r="CE33" s="6632"/>
      <c r="CF33" s="6632"/>
      <c r="CG33" s="6632"/>
      <c r="CH33" s="6632"/>
      <c r="CI33" s="6445"/>
      <c r="CJ33" s="6632" t="str">
        <f>IF(TITLE_NUMBER_PR_CHANGE="",IF(TITLE_NUMBER_PR="","",TITLE_NUMBER_PR),TITLE_NUMBER_PR_CHANGE)</f>
        <v>27-2067</v>
      </c>
      <c r="CK33" s="6632"/>
      <c r="CL33" s="6632"/>
      <c r="CM33" s="6632"/>
      <c r="CN33" s="6632"/>
      <c r="CO33" s="6632"/>
      <c r="CP33" s="6632"/>
      <c r="CQ33" s="6632"/>
      <c r="CR33" s="6632"/>
      <c r="CS33" s="6632"/>
      <c r="CT33" s="6445"/>
      <c r="CU33" s="9765" t="str">
        <f>IF(TITLE_NUMBER_PR_CHANGE="",IF(TITLE_NUMBER_PR="","",TITLE_NUMBER_PR),TITLE_NUMBER_PR_CHANGE)</f>
        <v>27-2067</v>
      </c>
      <c r="CV33" s="9765"/>
      <c r="CW33" s="9765"/>
      <c r="CX33" s="9765"/>
      <c r="CY33" s="9765"/>
      <c r="CZ33" s="9765"/>
      <c r="DA33" s="9765"/>
      <c r="DB33" s="9765"/>
      <c r="DC33" s="9765"/>
      <c r="DD33" s="9765"/>
      <c r="DE33" s="9490"/>
      <c r="DF33" s="9765" t="str">
        <f>IF(TITLE_NUMBER_PR_CHANGE="",IF(TITLE_NUMBER_PR="","",TITLE_NUMBER_PR),TITLE_NUMBER_PR_CHANGE)</f>
        <v>27-2067</v>
      </c>
      <c r="DG33" s="9765"/>
      <c r="DH33" s="9765"/>
      <c r="DI33" s="9765"/>
      <c r="DJ33" s="9765"/>
      <c r="DK33" s="9765"/>
      <c r="DL33" s="9765"/>
      <c r="DM33" s="9765"/>
      <c r="DN33" s="9765"/>
      <c r="DO33" s="9765"/>
      <c r="DP33" s="9490"/>
      <c r="DQ33" s="548"/>
      <c r="DR33" s="502"/>
      <c r="DS33" s="590"/>
      <c r="DT33" s="590"/>
      <c r="DU33" s="590"/>
      <c r="DV33" s="590"/>
      <c r="DW33" s="590"/>
    </row>
    <row s="16563" customFormat="1" customHeight="1" ht="0.75">
      <c r="A34" s="1595"/>
      <c r="B34" s="1595"/>
      <c r="C34" s="1595"/>
      <c r="D34" s="1595"/>
      <c r="E34" s="1595"/>
      <c r="F34" s="1595"/>
      <c r="G34" s="1595"/>
      <c r="H34" s="1595"/>
      <c r="I34" s="1595"/>
      <c r="J34" s="1595"/>
      <c r="K34" s="1595"/>
      <c r="L34" s="1596"/>
      <c r="M34" s="1595"/>
      <c r="N34" s="1595"/>
      <c r="O34" s="1595"/>
      <c r="S34" s="545"/>
      <c r="T34" s="545"/>
      <c r="U34" s="1715"/>
      <c r="V34" s="548"/>
      <c r="W34" s="1862"/>
      <c r="X34" s="1862"/>
      <c r="Y34" s="1862"/>
      <c r="Z34" s="1862"/>
      <c r="AA34" s="1862"/>
      <c r="AB34" s="1862"/>
      <c r="AC34" s="548"/>
      <c r="AD34" s="548"/>
      <c r="AE34" s="548"/>
      <c r="AF34" s="500" t="s">
        <v>531</v>
      </c>
      <c r="AG34" s="548"/>
      <c r="AH34" s="1862"/>
      <c r="AI34" s="1862"/>
      <c r="AJ34" s="1862"/>
      <c r="AK34" s="1862"/>
      <c r="AL34" s="1862"/>
      <c r="AM34" s="548"/>
      <c r="AN34" s="548"/>
      <c r="AO34" s="548"/>
      <c r="AP34" s="548"/>
      <c r="AQ34" s="500" t="s">
        <v>531</v>
      </c>
      <c r="AR34" s="6445"/>
      <c r="AS34" s="6445"/>
      <c r="AT34" s="6445"/>
      <c r="AU34" s="6445"/>
      <c r="AV34" s="6445"/>
      <c r="AW34" s="6445"/>
      <c r="AX34" s="6445"/>
      <c r="AY34" s="6445"/>
      <c r="AZ34" s="6445"/>
      <c r="BA34" s="6445"/>
      <c r="BB34" s="6634" t="s">
        <v>531</v>
      </c>
      <c r="BC34" s="6445"/>
      <c r="BD34" s="6445"/>
      <c r="BE34" s="6445"/>
      <c r="BF34" s="6445"/>
      <c r="BG34" s="6445"/>
      <c r="BH34" s="6445"/>
      <c r="BI34" s="6445"/>
      <c r="BJ34" s="6445"/>
      <c r="BK34" s="6445"/>
      <c r="BL34" s="6445"/>
      <c r="BM34" s="6634" t="s">
        <v>531</v>
      </c>
      <c r="BN34" s="6445"/>
      <c r="BO34" s="6445"/>
      <c r="BP34" s="6445"/>
      <c r="BQ34" s="6445"/>
      <c r="BR34" s="6445"/>
      <c r="BS34" s="6445"/>
      <c r="BT34" s="6445"/>
      <c r="BU34" s="6445"/>
      <c r="BV34" s="6445"/>
      <c r="BW34" s="6445"/>
      <c r="BX34" s="6634" t="s">
        <v>531</v>
      </c>
      <c r="BY34" s="6445"/>
      <c r="BZ34" s="6445"/>
      <c r="CA34" s="6445"/>
      <c r="CB34" s="6445"/>
      <c r="CC34" s="6445"/>
      <c r="CD34" s="6445"/>
      <c r="CE34" s="6445"/>
      <c r="CF34" s="6445"/>
      <c r="CG34" s="6445"/>
      <c r="CH34" s="6445"/>
      <c r="CI34" s="6634" t="s">
        <v>531</v>
      </c>
      <c r="CJ34" s="6445"/>
      <c r="CK34" s="6445"/>
      <c r="CL34" s="6445"/>
      <c r="CM34" s="6445"/>
      <c r="CN34" s="6445"/>
      <c r="CO34" s="6445"/>
      <c r="CP34" s="6445"/>
      <c r="CQ34" s="6445"/>
      <c r="CR34" s="6445"/>
      <c r="CS34" s="6445"/>
      <c r="CT34" s="6634" t="s">
        <v>531</v>
      </c>
      <c r="CU34" s="9490"/>
      <c r="CV34" s="9490"/>
      <c r="CW34" s="9490"/>
      <c r="CX34" s="9490"/>
      <c r="CY34" s="9490"/>
      <c r="CZ34" s="9490"/>
      <c r="DA34" s="9490"/>
      <c r="DB34" s="9490"/>
      <c r="DC34" s="9490"/>
      <c r="DD34" s="9490"/>
      <c r="DE34" s="9769" t="s">
        <v>531</v>
      </c>
      <c r="DF34" s="9490"/>
      <c r="DG34" s="9490"/>
      <c r="DH34" s="9490"/>
      <c r="DI34" s="9490"/>
      <c r="DJ34" s="9490"/>
      <c r="DK34" s="9490"/>
      <c r="DL34" s="9490"/>
      <c r="DM34" s="9490"/>
      <c r="DN34" s="9490"/>
      <c r="DO34" s="9490"/>
      <c r="DP34" s="9769" t="s">
        <v>531</v>
      </c>
      <c r="DS34" s="590"/>
      <c r="DT34" s="590"/>
      <c r="DU34" s="590"/>
      <c r="DV34" s="590"/>
      <c r="DW34" s="590"/>
    </row>
    <row customHeight="1" ht="14.25">
      <c r="Q35" s="598"/>
      <c r="R35" s="598"/>
      <c r="S35" s="1502"/>
      <c r="T35" s="585"/>
      <c r="U35" s="1470"/>
      <c r="V35" s="2405"/>
      <c r="W35" s="2405"/>
      <c r="X35" s="2405"/>
      <c r="Y35" s="2405"/>
      <c r="Z35" s="2405"/>
      <c r="AA35" s="2405"/>
      <c r="AB35" s="2405"/>
      <c r="AC35" s="2405"/>
      <c r="AD35" s="2405"/>
      <c r="AE35" s="2405"/>
      <c r="AF35" s="2405"/>
      <c r="AG35" s="2405"/>
      <c r="AH35" s="2405"/>
      <c r="AI35" s="2405"/>
      <c r="AJ35" s="2405"/>
      <c r="AK35" s="2405"/>
      <c r="AL35" s="2405"/>
      <c r="AM35" s="2405"/>
      <c r="AN35" s="2405"/>
      <c r="AO35" s="2405"/>
      <c r="AP35" s="2405"/>
      <c r="AQ35" s="2405"/>
      <c r="AR35" s="6635" t="s">
        <v>100</v>
      </c>
      <c r="AS35" s="6635"/>
      <c r="AT35" s="6635"/>
      <c r="AU35" s="6635"/>
      <c r="AV35" s="6635"/>
      <c r="AW35" s="6635"/>
      <c r="AX35" s="6635"/>
      <c r="AY35" s="6635"/>
      <c r="AZ35" s="6635"/>
      <c r="BA35" s="6635"/>
      <c r="BB35" s="6635"/>
      <c r="BC35" s="6635" t="s">
        <v>100</v>
      </c>
      <c r="BD35" s="6635"/>
      <c r="BE35" s="6635"/>
      <c r="BF35" s="6635"/>
      <c r="BG35" s="6635"/>
      <c r="BH35" s="6635"/>
      <c r="BI35" s="6635"/>
      <c r="BJ35" s="6635"/>
      <c r="BK35" s="6635"/>
      <c r="BL35" s="6635"/>
      <c r="BM35" s="6635"/>
      <c r="BN35" s="6635" t="s">
        <v>100</v>
      </c>
      <c r="BO35" s="6635"/>
      <c r="BP35" s="6635"/>
      <c r="BQ35" s="6635"/>
      <c r="BR35" s="6635"/>
      <c r="BS35" s="6635"/>
      <c r="BT35" s="6635"/>
      <c r="BU35" s="6635"/>
      <c r="BV35" s="6635"/>
      <c r="BW35" s="6635"/>
      <c r="BX35" s="6635"/>
      <c r="BY35" s="6635" t="s">
        <v>100</v>
      </c>
      <c r="BZ35" s="6635"/>
      <c r="CA35" s="6635"/>
      <c r="CB35" s="6635"/>
      <c r="CC35" s="6635"/>
      <c r="CD35" s="6635"/>
      <c r="CE35" s="6635"/>
      <c r="CF35" s="6635"/>
      <c r="CG35" s="6635"/>
      <c r="CH35" s="6635"/>
      <c r="CI35" s="6635"/>
      <c r="CJ35" s="6635" t="s">
        <v>100</v>
      </c>
      <c r="CK35" s="6635"/>
      <c r="CL35" s="6635"/>
      <c r="CM35" s="6635"/>
      <c r="CN35" s="6635"/>
      <c r="CO35" s="6635"/>
      <c r="CP35" s="6635"/>
      <c r="CQ35" s="6635"/>
      <c r="CR35" s="6635"/>
      <c r="CS35" s="6635"/>
      <c r="CT35" s="6635"/>
      <c r="CU35" s="9771" t="s">
        <v>100</v>
      </c>
      <c r="CV35" s="9771"/>
      <c r="CW35" s="9771"/>
      <c r="CX35" s="9771"/>
      <c r="CY35" s="9771"/>
      <c r="CZ35" s="9771"/>
      <c r="DA35" s="9771"/>
      <c r="DB35" s="9771"/>
      <c r="DC35" s="9771"/>
      <c r="DD35" s="9771"/>
      <c r="DE35" s="9771"/>
      <c r="DF35" s="9771" t="s">
        <v>100</v>
      </c>
      <c r="DG35" s="9771"/>
      <c r="DH35" s="9771"/>
      <c r="DI35" s="9771"/>
      <c r="DJ35" s="9771"/>
      <c r="DK35" s="9771"/>
      <c r="DL35" s="9771"/>
      <c r="DM35" s="9771"/>
      <c r="DN35" s="9771"/>
      <c r="DO35" s="9771"/>
      <c r="DP35" s="9771"/>
    </row>
    <row customHeight="1" ht="14.25">
      <c r="Q36" s="598"/>
      <c r="R36" s="598"/>
      <c r="S36" s="2253" t="s">
        <v>406</v>
      </c>
      <c r="T36" s="2253"/>
      <c r="U36" s="2253"/>
      <c r="V36" s="2253"/>
      <c r="W36" s="2253"/>
      <c r="X36" s="2253"/>
      <c r="Y36" s="2253"/>
      <c r="Z36" s="2253"/>
      <c r="AA36" s="2253"/>
      <c r="AB36" s="2253"/>
      <c r="AC36" s="2253"/>
      <c r="AD36" s="2253"/>
      <c r="AE36" s="2253"/>
      <c r="AF36" s="2253"/>
      <c r="AG36" s="2253"/>
      <c r="AH36" s="2253"/>
      <c r="AI36" s="2253"/>
      <c r="AJ36" s="2253"/>
      <c r="AK36" s="2253"/>
      <c r="AL36" s="2253"/>
      <c r="AM36" s="2253"/>
      <c r="AN36" s="2253"/>
      <c r="AO36" s="2253"/>
      <c r="AP36" s="2253"/>
      <c r="AQ36" s="2253"/>
      <c r="AR36" s="6636" t="s">
        <v>406</v>
      </c>
      <c r="AS36" s="6636"/>
      <c r="AT36" s="6636"/>
      <c r="AU36" s="6636"/>
      <c r="AV36" s="6636"/>
      <c r="AW36" s="6636"/>
      <c r="AX36" s="6636"/>
      <c r="AY36" s="6636"/>
      <c r="AZ36" s="6636"/>
      <c r="BA36" s="6636"/>
      <c r="BB36" s="6636"/>
      <c r="BC36" s="6636" t="s">
        <v>406</v>
      </c>
      <c r="BD36" s="6636"/>
      <c r="BE36" s="6636"/>
      <c r="BF36" s="6636"/>
      <c r="BG36" s="6636"/>
      <c r="BH36" s="6636"/>
      <c r="BI36" s="6636"/>
      <c r="BJ36" s="6636"/>
      <c r="BK36" s="6636"/>
      <c r="BL36" s="6636"/>
      <c r="BM36" s="6636"/>
      <c r="BN36" s="6636" t="s">
        <v>406</v>
      </c>
      <c r="BO36" s="6636"/>
      <c r="BP36" s="6636"/>
      <c r="BQ36" s="6636"/>
      <c r="BR36" s="6636"/>
      <c r="BS36" s="6636"/>
      <c r="BT36" s="6636"/>
      <c r="BU36" s="6636"/>
      <c r="BV36" s="6636"/>
      <c r="BW36" s="6636"/>
      <c r="BX36" s="6636"/>
      <c r="BY36" s="6636" t="s">
        <v>406</v>
      </c>
      <c r="BZ36" s="6636"/>
      <c r="CA36" s="6636"/>
      <c r="CB36" s="6636"/>
      <c r="CC36" s="6636"/>
      <c r="CD36" s="6636"/>
      <c r="CE36" s="6636"/>
      <c r="CF36" s="6636"/>
      <c r="CG36" s="6636"/>
      <c r="CH36" s="6636"/>
      <c r="CI36" s="6636"/>
      <c r="CJ36" s="6636" t="s">
        <v>406</v>
      </c>
      <c r="CK36" s="6636"/>
      <c r="CL36" s="6636"/>
      <c r="CM36" s="6636"/>
      <c r="CN36" s="6636"/>
      <c r="CO36" s="6636"/>
      <c r="CP36" s="6636"/>
      <c r="CQ36" s="6636"/>
      <c r="CR36" s="6636"/>
      <c r="CS36" s="6636"/>
      <c r="CT36" s="6636"/>
      <c r="CU36" s="9773" t="s">
        <v>406</v>
      </c>
      <c r="CV36" s="9773"/>
      <c r="CW36" s="9773"/>
      <c r="CX36" s="9773"/>
      <c r="CY36" s="9773"/>
      <c r="CZ36" s="9773"/>
      <c r="DA36" s="9773"/>
      <c r="DB36" s="9773"/>
      <c r="DC36" s="9773"/>
      <c r="DD36" s="9773"/>
      <c r="DE36" s="9773"/>
      <c r="DF36" s="9773" t="s">
        <v>406</v>
      </c>
      <c r="DG36" s="9773"/>
      <c r="DH36" s="9773"/>
      <c r="DI36" s="9773"/>
      <c r="DJ36" s="9773"/>
      <c r="DK36" s="9773"/>
      <c r="DL36" s="9773"/>
      <c r="DM36" s="9773"/>
      <c r="DN36" s="9773"/>
      <c r="DO36" s="9773"/>
      <c r="DP36" s="9773"/>
      <c r="DQ36" s="2253"/>
      <c r="DR36" s="2253"/>
    </row>
    <row customHeight="1" ht="14.25">
      <c r="Q37" s="598"/>
      <c r="R37" s="598"/>
      <c r="S37" s="2406" t="s">
        <v>84</v>
      </c>
      <c r="T37" s="2343" t="s">
        <v>532</v>
      </c>
      <c r="U37" s="523"/>
      <c r="V37" s="2407" t="s">
        <v>533</v>
      </c>
      <c r="W37" s="2429"/>
      <c r="X37" s="2429"/>
      <c r="Y37" s="2429"/>
      <c r="Z37" s="2429"/>
      <c r="AA37" s="2429"/>
      <c r="AB37" s="2429"/>
      <c r="AC37" s="2408"/>
      <c r="AD37" s="2408"/>
      <c r="AE37" s="2409"/>
      <c r="AF37" s="2410" t="s">
        <v>534</v>
      </c>
      <c r="AG37" s="2407" t="s">
        <v>533</v>
      </c>
      <c r="AH37" s="2408"/>
      <c r="AI37" s="2408"/>
      <c r="AJ37" s="2408"/>
      <c r="AK37" s="2408"/>
      <c r="AL37" s="2408"/>
      <c r="AM37" s="2408"/>
      <c r="AN37" s="2408"/>
      <c r="AO37" s="2408"/>
      <c r="AP37" s="2409"/>
      <c r="AQ37" s="2410" t="s">
        <v>535</v>
      </c>
      <c r="AR37" s="6637" t="s">
        <v>533</v>
      </c>
      <c r="AS37" s="6638"/>
      <c r="AT37" s="6638"/>
      <c r="AU37" s="6638"/>
      <c r="AV37" s="6638"/>
      <c r="AW37" s="6638"/>
      <c r="AX37" s="6638"/>
      <c r="AY37" s="6639"/>
      <c r="AZ37" s="6639"/>
      <c r="BA37" s="6640"/>
      <c r="BB37" s="6641" t="s">
        <v>534</v>
      </c>
      <c r="BC37" s="6637" t="s">
        <v>533</v>
      </c>
      <c r="BD37" s="6638"/>
      <c r="BE37" s="6638"/>
      <c r="BF37" s="6638"/>
      <c r="BG37" s="6638"/>
      <c r="BH37" s="6638"/>
      <c r="BI37" s="6638"/>
      <c r="BJ37" s="6639"/>
      <c r="BK37" s="6639"/>
      <c r="BL37" s="6640"/>
      <c r="BM37" s="6641" t="s">
        <v>534</v>
      </c>
      <c r="BN37" s="6637" t="s">
        <v>533</v>
      </c>
      <c r="BO37" s="6638"/>
      <c r="BP37" s="6638"/>
      <c r="BQ37" s="6638"/>
      <c r="BR37" s="6638"/>
      <c r="BS37" s="6638"/>
      <c r="BT37" s="6638"/>
      <c r="BU37" s="6639"/>
      <c r="BV37" s="6639"/>
      <c r="BW37" s="6640"/>
      <c r="BX37" s="6641" t="s">
        <v>534</v>
      </c>
      <c r="BY37" s="6637" t="s">
        <v>533</v>
      </c>
      <c r="BZ37" s="6638"/>
      <c r="CA37" s="6638"/>
      <c r="CB37" s="6638"/>
      <c r="CC37" s="6638"/>
      <c r="CD37" s="6638"/>
      <c r="CE37" s="6638"/>
      <c r="CF37" s="6639"/>
      <c r="CG37" s="6639"/>
      <c r="CH37" s="6640"/>
      <c r="CI37" s="6641" t="s">
        <v>534</v>
      </c>
      <c r="CJ37" s="6637" t="s">
        <v>533</v>
      </c>
      <c r="CK37" s="6638"/>
      <c r="CL37" s="6638"/>
      <c r="CM37" s="6638"/>
      <c r="CN37" s="6638"/>
      <c r="CO37" s="6638"/>
      <c r="CP37" s="6638"/>
      <c r="CQ37" s="6639"/>
      <c r="CR37" s="6639"/>
      <c r="CS37" s="6640"/>
      <c r="CT37" s="6641" t="s">
        <v>534</v>
      </c>
      <c r="CU37" s="9779" t="s">
        <v>533</v>
      </c>
      <c r="CV37" s="9780"/>
      <c r="CW37" s="9780"/>
      <c r="CX37" s="9780"/>
      <c r="CY37" s="9780"/>
      <c r="CZ37" s="9780"/>
      <c r="DA37" s="9780"/>
      <c r="DB37" s="9781"/>
      <c r="DC37" s="9781"/>
      <c r="DD37" s="9782"/>
      <c r="DE37" s="9783" t="s">
        <v>534</v>
      </c>
      <c r="DF37" s="9779" t="s">
        <v>533</v>
      </c>
      <c r="DG37" s="9780"/>
      <c r="DH37" s="9780"/>
      <c r="DI37" s="9780"/>
      <c r="DJ37" s="9780"/>
      <c r="DK37" s="9780"/>
      <c r="DL37" s="9780"/>
      <c r="DM37" s="9781"/>
      <c r="DN37" s="9781"/>
      <c r="DO37" s="9782"/>
      <c r="DP37" s="9783" t="s">
        <v>534</v>
      </c>
      <c r="DQ37" s="2413" t="s">
        <v>536</v>
      </c>
      <c r="DR37" s="2253"/>
    </row>
    <row customHeight="1" ht="18.75">
      <c r="Q38" s="598"/>
      <c r="R38" s="598"/>
      <c r="S38" s="2406"/>
      <c r="T38" s="2343"/>
      <c r="U38" s="1254"/>
      <c r="V38" s="2493" t="s">
        <v>636</v>
      </c>
      <c r="W38" s="2492" t="s">
        <v>637</v>
      </c>
      <c r="X38" s="2492"/>
      <c r="Y38" s="2492"/>
      <c r="Z38" s="2492" t="s">
        <v>638</v>
      </c>
      <c r="AA38" s="2492"/>
      <c r="AB38" s="2492"/>
      <c r="AC38" s="2427" t="s">
        <v>540</v>
      </c>
      <c r="AD38" s="2445"/>
      <c r="AE38" s="2446"/>
      <c r="AF38" s="2411"/>
      <c r="AG38" s="2493" t="s">
        <v>636</v>
      </c>
      <c r="AH38" s="2492" t="s">
        <v>637</v>
      </c>
      <c r="AI38" s="2492"/>
      <c r="AJ38" s="2492"/>
      <c r="AK38" s="2492" t="s">
        <v>638</v>
      </c>
      <c r="AL38" s="2492"/>
      <c r="AM38" s="2492"/>
      <c r="AN38" s="2427" t="s">
        <v>540</v>
      </c>
      <c r="AO38" s="2445"/>
      <c r="AP38" s="2446"/>
      <c r="AQ38" s="2411"/>
      <c r="AR38" s="6636" t="s">
        <v>636</v>
      </c>
      <c r="AS38" s="6644" t="s">
        <v>637</v>
      </c>
      <c r="AT38" s="6644"/>
      <c r="AU38" s="6644"/>
      <c r="AV38" s="6644" t="s">
        <v>638</v>
      </c>
      <c r="AW38" s="6644"/>
      <c r="AX38" s="6644"/>
      <c r="AY38" s="6645" t="s">
        <v>540</v>
      </c>
      <c r="AZ38" s="6646"/>
      <c r="BA38" s="6647"/>
      <c r="BB38" s="6648"/>
      <c r="BC38" s="6636" t="s">
        <v>636</v>
      </c>
      <c r="BD38" s="6644" t="s">
        <v>637</v>
      </c>
      <c r="BE38" s="6644"/>
      <c r="BF38" s="6644"/>
      <c r="BG38" s="6644" t="s">
        <v>638</v>
      </c>
      <c r="BH38" s="6644"/>
      <c r="BI38" s="6644"/>
      <c r="BJ38" s="6645" t="s">
        <v>540</v>
      </c>
      <c r="BK38" s="6646"/>
      <c r="BL38" s="6647"/>
      <c r="BM38" s="6648"/>
      <c r="BN38" s="6636" t="s">
        <v>636</v>
      </c>
      <c r="BO38" s="6644" t="s">
        <v>637</v>
      </c>
      <c r="BP38" s="6644"/>
      <c r="BQ38" s="6644"/>
      <c r="BR38" s="6644" t="s">
        <v>638</v>
      </c>
      <c r="BS38" s="6644"/>
      <c r="BT38" s="6644"/>
      <c r="BU38" s="6645" t="s">
        <v>540</v>
      </c>
      <c r="BV38" s="6646"/>
      <c r="BW38" s="6647"/>
      <c r="BX38" s="6648"/>
      <c r="BY38" s="6636" t="s">
        <v>636</v>
      </c>
      <c r="BZ38" s="6644" t="s">
        <v>637</v>
      </c>
      <c r="CA38" s="6644"/>
      <c r="CB38" s="6644"/>
      <c r="CC38" s="6644" t="s">
        <v>638</v>
      </c>
      <c r="CD38" s="6644"/>
      <c r="CE38" s="6644"/>
      <c r="CF38" s="6645" t="s">
        <v>540</v>
      </c>
      <c r="CG38" s="6646"/>
      <c r="CH38" s="6647"/>
      <c r="CI38" s="6648"/>
      <c r="CJ38" s="6636" t="s">
        <v>636</v>
      </c>
      <c r="CK38" s="6644" t="s">
        <v>637</v>
      </c>
      <c r="CL38" s="6644"/>
      <c r="CM38" s="6644"/>
      <c r="CN38" s="6644" t="s">
        <v>638</v>
      </c>
      <c r="CO38" s="6644"/>
      <c r="CP38" s="6644"/>
      <c r="CQ38" s="6645" t="s">
        <v>540</v>
      </c>
      <c r="CR38" s="6646"/>
      <c r="CS38" s="6647"/>
      <c r="CT38" s="6648"/>
      <c r="CU38" s="9773" t="s">
        <v>636</v>
      </c>
      <c r="CV38" s="9791" t="s">
        <v>637</v>
      </c>
      <c r="CW38" s="9791"/>
      <c r="CX38" s="9791"/>
      <c r="CY38" s="9791" t="s">
        <v>638</v>
      </c>
      <c r="CZ38" s="9791"/>
      <c r="DA38" s="9791"/>
      <c r="DB38" s="9792" t="s">
        <v>540</v>
      </c>
      <c r="DC38" s="9793"/>
      <c r="DD38" s="9794"/>
      <c r="DE38" s="9795"/>
      <c r="DF38" s="9773" t="s">
        <v>636</v>
      </c>
      <c r="DG38" s="9791" t="s">
        <v>637</v>
      </c>
      <c r="DH38" s="9791"/>
      <c r="DI38" s="9791"/>
      <c r="DJ38" s="9791" t="s">
        <v>638</v>
      </c>
      <c r="DK38" s="9791"/>
      <c r="DL38" s="9791"/>
      <c r="DM38" s="9792" t="s">
        <v>540</v>
      </c>
      <c r="DN38" s="9793"/>
      <c r="DO38" s="9794"/>
      <c r="DP38" s="9795"/>
      <c r="DQ38" s="2414"/>
      <c r="DR38" s="2253"/>
    </row>
    <row s="16676" customFormat="1" customHeight="1" ht="18.75">
      <c r="A39" s="1593"/>
      <c r="B39" s="1593"/>
      <c r="C39" s="1593"/>
      <c r="D39" s="1593"/>
      <c r="E39" s="1593"/>
      <c r="F39" s="1593"/>
      <c r="G39" s="1593"/>
      <c r="H39" s="1593"/>
      <c r="I39" s="1593"/>
      <c r="J39" s="1593"/>
      <c r="K39" s="1593"/>
      <c r="L39" s="2179"/>
      <c r="M39" s="1589"/>
      <c r="N39" s="1589"/>
      <c r="O39" s="1589"/>
      <c r="P39" s="2193"/>
      <c r="Q39" s="598"/>
      <c r="R39" s="598"/>
      <c r="S39" s="2406"/>
      <c r="T39" s="2343"/>
      <c r="U39" s="1254"/>
      <c r="V39" s="2493"/>
      <c r="W39" s="2492" t="s">
        <v>639</v>
      </c>
      <c r="X39" s="2492" t="s">
        <v>640</v>
      </c>
      <c r="Y39" s="2492"/>
      <c r="Z39" s="2492" t="s">
        <v>641</v>
      </c>
      <c r="AA39" s="2492" t="s">
        <v>640</v>
      </c>
      <c r="AB39" s="2492"/>
      <c r="AC39" s="2428"/>
      <c r="AD39" s="2447"/>
      <c r="AE39" s="2448"/>
      <c r="AF39" s="2411"/>
      <c r="AG39" s="2493"/>
      <c r="AH39" s="2492" t="s">
        <v>639</v>
      </c>
      <c r="AI39" s="2492" t="s">
        <v>640</v>
      </c>
      <c r="AJ39" s="2492"/>
      <c r="AK39" s="2492" t="s">
        <v>641</v>
      </c>
      <c r="AL39" s="2492" t="s">
        <v>640</v>
      </c>
      <c r="AM39" s="2492"/>
      <c r="AN39" s="2428"/>
      <c r="AO39" s="2447"/>
      <c r="AP39" s="2448"/>
      <c r="AQ39" s="2411"/>
      <c r="AR39" s="6636"/>
      <c r="AS39" s="6644" t="s">
        <v>639</v>
      </c>
      <c r="AT39" s="6644" t="s">
        <v>640</v>
      </c>
      <c r="AU39" s="6644"/>
      <c r="AV39" s="6644" t="s">
        <v>641</v>
      </c>
      <c r="AW39" s="6644" t="s">
        <v>640</v>
      </c>
      <c r="AX39" s="6644"/>
      <c r="AY39" s="6650"/>
      <c r="AZ39" s="6651"/>
      <c r="BA39" s="6652"/>
      <c r="BB39" s="6648"/>
      <c r="BC39" s="6636"/>
      <c r="BD39" s="6644" t="s">
        <v>639</v>
      </c>
      <c r="BE39" s="6644" t="s">
        <v>640</v>
      </c>
      <c r="BF39" s="6644"/>
      <c r="BG39" s="6644" t="s">
        <v>641</v>
      </c>
      <c r="BH39" s="6644" t="s">
        <v>640</v>
      </c>
      <c r="BI39" s="6644"/>
      <c r="BJ39" s="6650"/>
      <c r="BK39" s="6651"/>
      <c r="BL39" s="6652"/>
      <c r="BM39" s="6648"/>
      <c r="BN39" s="6636"/>
      <c r="BO39" s="6644" t="s">
        <v>639</v>
      </c>
      <c r="BP39" s="6644" t="s">
        <v>640</v>
      </c>
      <c r="BQ39" s="6644"/>
      <c r="BR39" s="6644" t="s">
        <v>641</v>
      </c>
      <c r="BS39" s="6644" t="s">
        <v>640</v>
      </c>
      <c r="BT39" s="6644"/>
      <c r="BU39" s="6650"/>
      <c r="BV39" s="6651"/>
      <c r="BW39" s="6652"/>
      <c r="BX39" s="6648"/>
      <c r="BY39" s="6636"/>
      <c r="BZ39" s="6644" t="s">
        <v>639</v>
      </c>
      <c r="CA39" s="6644" t="s">
        <v>640</v>
      </c>
      <c r="CB39" s="6644"/>
      <c r="CC39" s="6644" t="s">
        <v>641</v>
      </c>
      <c r="CD39" s="6644" t="s">
        <v>640</v>
      </c>
      <c r="CE39" s="6644"/>
      <c r="CF39" s="6650"/>
      <c r="CG39" s="6651"/>
      <c r="CH39" s="6652"/>
      <c r="CI39" s="6648"/>
      <c r="CJ39" s="6636"/>
      <c r="CK39" s="6644" t="s">
        <v>639</v>
      </c>
      <c r="CL39" s="6644" t="s">
        <v>640</v>
      </c>
      <c r="CM39" s="6644"/>
      <c r="CN39" s="6644" t="s">
        <v>641</v>
      </c>
      <c r="CO39" s="6644" t="s">
        <v>640</v>
      </c>
      <c r="CP39" s="6644"/>
      <c r="CQ39" s="6650"/>
      <c r="CR39" s="6651"/>
      <c r="CS39" s="6652"/>
      <c r="CT39" s="6648"/>
      <c r="CU39" s="9773"/>
      <c r="CV39" s="9791" t="s">
        <v>639</v>
      </c>
      <c r="CW39" s="9791" t="s">
        <v>640</v>
      </c>
      <c r="CX39" s="9791"/>
      <c r="CY39" s="9791" t="s">
        <v>641</v>
      </c>
      <c r="CZ39" s="9791" t="s">
        <v>640</v>
      </c>
      <c r="DA39" s="9791"/>
      <c r="DB39" s="9800"/>
      <c r="DC39" s="9801"/>
      <c r="DD39" s="9802"/>
      <c r="DE39" s="9795"/>
      <c r="DF39" s="9773"/>
      <c r="DG39" s="9791" t="s">
        <v>639</v>
      </c>
      <c r="DH39" s="9791" t="s">
        <v>640</v>
      </c>
      <c r="DI39" s="9791"/>
      <c r="DJ39" s="9791" t="s">
        <v>641</v>
      </c>
      <c r="DK39" s="9791" t="s">
        <v>640</v>
      </c>
      <c r="DL39" s="9791"/>
      <c r="DM39" s="9800"/>
      <c r="DN39" s="9801"/>
      <c r="DO39" s="9802"/>
      <c r="DP39" s="9795"/>
      <c r="DQ39" s="2414"/>
      <c r="DR39" s="2253"/>
      <c r="DS39" s="1863"/>
      <c r="DT39" s="1863"/>
      <c r="DU39" s="1863"/>
      <c r="DV39" s="1863"/>
      <c r="DW39" s="1863"/>
    </row>
    <row customHeight="1" ht="59.25">
      <c r="A40" s="1597"/>
      <c r="B40" s="1597" t="s">
        <v>191</v>
      </c>
      <c r="C40" s="1597" t="s">
        <v>192</v>
      </c>
      <c r="D40" s="1597" t="s">
        <v>193</v>
      </c>
      <c r="E40" s="1591" t="s">
        <v>541</v>
      </c>
      <c r="F40" s="1591" t="s">
        <v>542</v>
      </c>
      <c r="G40" s="1591" t="s">
        <v>543</v>
      </c>
      <c r="H40" s="1591"/>
      <c r="I40" s="1591" t="s">
        <v>594</v>
      </c>
      <c r="J40" s="1591" t="s">
        <v>546</v>
      </c>
      <c r="K40" s="1591" t="s">
        <v>595</v>
      </c>
      <c r="L40" s="1591" t="s">
        <v>522</v>
      </c>
      <c r="Q40" s="598"/>
      <c r="R40" s="598"/>
      <c r="S40" s="2406"/>
      <c r="T40" s="2343"/>
      <c r="U40" s="524"/>
      <c r="V40" s="2493"/>
      <c r="W40" s="2492"/>
      <c r="X40" s="2212" t="s">
        <v>642</v>
      </c>
      <c r="Y40" s="2212" t="s">
        <v>643</v>
      </c>
      <c r="Z40" s="2492"/>
      <c r="AA40" s="2212" t="s">
        <v>644</v>
      </c>
      <c r="AB40" s="2212" t="s">
        <v>645</v>
      </c>
      <c r="AC40" s="1716" t="s">
        <v>550</v>
      </c>
      <c r="AD40" s="2402" t="s">
        <v>551</v>
      </c>
      <c r="AE40" s="2403"/>
      <c r="AF40" s="2412"/>
      <c r="AG40" s="2493"/>
      <c r="AH40" s="2492"/>
      <c r="AI40" s="2212" t="s">
        <v>642</v>
      </c>
      <c r="AJ40" s="2212" t="s">
        <v>643</v>
      </c>
      <c r="AK40" s="2492"/>
      <c r="AL40" s="2212" t="s">
        <v>644</v>
      </c>
      <c r="AM40" s="2212" t="s">
        <v>645</v>
      </c>
      <c r="AN40" s="1716" t="s">
        <v>550</v>
      </c>
      <c r="AO40" s="2402" t="s">
        <v>551</v>
      </c>
      <c r="AP40" s="2403"/>
      <c r="AQ40" s="2412"/>
      <c r="AR40" s="6636"/>
      <c r="AS40" s="6644"/>
      <c r="AT40" s="6644" t="s">
        <v>642</v>
      </c>
      <c r="AU40" s="6644" t="s">
        <v>643</v>
      </c>
      <c r="AV40" s="6644"/>
      <c r="AW40" s="6644" t="s">
        <v>644</v>
      </c>
      <c r="AX40" s="6644" t="s">
        <v>645</v>
      </c>
      <c r="AY40" s="6654" t="s">
        <v>550</v>
      </c>
      <c r="AZ40" s="6655" t="s">
        <v>551</v>
      </c>
      <c r="BA40" s="6656"/>
      <c r="BB40" s="6657"/>
      <c r="BC40" s="6636"/>
      <c r="BD40" s="6644"/>
      <c r="BE40" s="6644" t="s">
        <v>642</v>
      </c>
      <c r="BF40" s="6644" t="s">
        <v>643</v>
      </c>
      <c r="BG40" s="6644"/>
      <c r="BH40" s="6644" t="s">
        <v>644</v>
      </c>
      <c r="BI40" s="6644" t="s">
        <v>645</v>
      </c>
      <c r="BJ40" s="6654" t="s">
        <v>550</v>
      </c>
      <c r="BK40" s="6655" t="s">
        <v>551</v>
      </c>
      <c r="BL40" s="6656"/>
      <c r="BM40" s="6657"/>
      <c r="BN40" s="6636"/>
      <c r="BO40" s="6644"/>
      <c r="BP40" s="6644" t="s">
        <v>642</v>
      </c>
      <c r="BQ40" s="6644" t="s">
        <v>643</v>
      </c>
      <c r="BR40" s="6644"/>
      <c r="BS40" s="6644" t="s">
        <v>644</v>
      </c>
      <c r="BT40" s="6644" t="s">
        <v>645</v>
      </c>
      <c r="BU40" s="6654" t="s">
        <v>550</v>
      </c>
      <c r="BV40" s="6655" t="s">
        <v>551</v>
      </c>
      <c r="BW40" s="6656"/>
      <c r="BX40" s="6657"/>
      <c r="BY40" s="6636"/>
      <c r="BZ40" s="6644"/>
      <c r="CA40" s="6644" t="s">
        <v>642</v>
      </c>
      <c r="CB40" s="6644" t="s">
        <v>643</v>
      </c>
      <c r="CC40" s="6644"/>
      <c r="CD40" s="6644" t="s">
        <v>644</v>
      </c>
      <c r="CE40" s="6644" t="s">
        <v>645</v>
      </c>
      <c r="CF40" s="6654" t="s">
        <v>550</v>
      </c>
      <c r="CG40" s="6655" t="s">
        <v>551</v>
      </c>
      <c r="CH40" s="6656"/>
      <c r="CI40" s="6657"/>
      <c r="CJ40" s="6636"/>
      <c r="CK40" s="6644"/>
      <c r="CL40" s="6644" t="s">
        <v>642</v>
      </c>
      <c r="CM40" s="6644" t="s">
        <v>643</v>
      </c>
      <c r="CN40" s="6644"/>
      <c r="CO40" s="6644" t="s">
        <v>644</v>
      </c>
      <c r="CP40" s="6644" t="s">
        <v>645</v>
      </c>
      <c r="CQ40" s="6654" t="s">
        <v>550</v>
      </c>
      <c r="CR40" s="6655" t="s">
        <v>551</v>
      </c>
      <c r="CS40" s="6656"/>
      <c r="CT40" s="6657"/>
      <c r="CU40" s="9773"/>
      <c r="CV40" s="9791"/>
      <c r="CW40" s="9791" t="s">
        <v>642</v>
      </c>
      <c r="CX40" s="9791" t="s">
        <v>643</v>
      </c>
      <c r="CY40" s="9791"/>
      <c r="CZ40" s="9791" t="s">
        <v>644</v>
      </c>
      <c r="DA40" s="9791" t="s">
        <v>645</v>
      </c>
      <c r="DB40" s="9808" t="s">
        <v>550</v>
      </c>
      <c r="DC40" s="9809" t="s">
        <v>551</v>
      </c>
      <c r="DD40" s="9810"/>
      <c r="DE40" s="9811"/>
      <c r="DF40" s="9773"/>
      <c r="DG40" s="9791"/>
      <c r="DH40" s="9791" t="s">
        <v>642</v>
      </c>
      <c r="DI40" s="9791" t="s">
        <v>643</v>
      </c>
      <c r="DJ40" s="9791"/>
      <c r="DK40" s="9791" t="s">
        <v>644</v>
      </c>
      <c r="DL40" s="9791" t="s">
        <v>645</v>
      </c>
      <c r="DM40" s="9808" t="s">
        <v>550</v>
      </c>
      <c r="DN40" s="9809" t="s">
        <v>551</v>
      </c>
      <c r="DO40" s="9810"/>
      <c r="DP40" s="9811"/>
      <c r="DQ40" s="2415"/>
      <c r="DR40" s="2253"/>
    </row>
    <row s="16382" customFormat="1" customHeight="1" ht="11.25" hidden="1">
      <c r="A41" s="1597"/>
      <c r="B41" s="1597"/>
      <c r="C41" s="1597"/>
      <c r="D41" s="1597"/>
      <c r="E41" s="1597"/>
      <c r="F41" s="1597"/>
      <c r="G41" s="1597"/>
      <c r="H41" s="1597"/>
      <c r="I41" s="1597"/>
      <c r="J41" s="1597"/>
      <c r="K41" s="1597"/>
      <c r="L41" s="1591"/>
      <c r="M41" s="1589"/>
      <c r="N41" s="1589"/>
      <c r="O41" s="1589"/>
      <c r="P41" s="1472"/>
      <c r="Q41" s="1473"/>
      <c r="R41" s="1480">
        <v>1</v>
      </c>
      <c r="S41" s="1504" t="s">
        <v>168</v>
      </c>
      <c r="T41" s="1481" t="s">
        <v>99</v>
      </c>
      <c r="U41" s="1471" t="str">
        <f>OFFSET(U41,0,-1)</f>
        <v>2</v>
      </c>
      <c r="V41" s="1709">
        <f>OFFSET(V41,0,-1)+1</f>
        <v>3</v>
      </c>
      <c r="W41" s="1568"/>
      <c r="X41" s="1568"/>
      <c r="Y41" s="1568"/>
      <c r="Z41" s="1568"/>
      <c r="AA41" s="1568"/>
      <c r="AB41" s="1568"/>
      <c r="AC41" s="1709">
        <f>OFFSET(AC41,0,-1)+1</f>
        <v>1</v>
      </c>
      <c r="AD41" s="2404">
        <f>OFFSET(AD41,0,-1)+1</f>
        <v>2</v>
      </c>
      <c r="AE41" s="2404"/>
      <c r="AF41" s="1709">
        <f>OFFSET(AF41,0,-2)+1</f>
        <v>3</v>
      </c>
      <c r="AG41" s="1709">
        <f>OFFSET(AG41,0,-1)+1</f>
        <v>4</v>
      </c>
      <c r="AH41" s="2184"/>
      <c r="AI41" s="2184"/>
      <c r="AJ41" s="2184"/>
      <c r="AK41" s="2184"/>
      <c r="AL41" s="2184"/>
      <c r="AM41" s="1709">
        <f>OFFSET(AM41,0,-1)+1</f>
        <v>1</v>
      </c>
      <c r="AN41" s="1709">
        <f>OFFSET(AN41,0,-1)+1</f>
        <v>2</v>
      </c>
      <c r="AO41" s="2404">
        <f>OFFSET(AO41,0,-1)+1</f>
        <v>3</v>
      </c>
      <c r="AP41" s="2404"/>
      <c r="AQ41" s="1709">
        <f>OFFSET(AQ41,0,-2)+1</f>
        <v>4</v>
      </c>
      <c r="AR41" s="6658">
        <f>OFFSET(AR41,0,-1)+1</f>
        <v>3</v>
      </c>
      <c r="AS41" s="6659"/>
      <c r="AT41" s="6659"/>
      <c r="AU41" s="6659"/>
      <c r="AV41" s="6659"/>
      <c r="AW41" s="6659"/>
      <c r="AX41" s="6659"/>
      <c r="AY41" s="6658">
        <f>OFFSET(AY41,0,-1)+1</f>
        <v>1</v>
      </c>
      <c r="AZ41" s="6658">
        <f>OFFSET(AZ41,0,-1)+1</f>
        <v>2</v>
      </c>
      <c r="BA41" s="6658"/>
      <c r="BB41" s="6658">
        <f>OFFSET(BB41,0,-2)+1</f>
        <v>3</v>
      </c>
      <c r="BC41" s="6658">
        <f>OFFSET(BC41,0,-1)+1</f>
        <v>3</v>
      </c>
      <c r="BD41" s="6659"/>
      <c r="BE41" s="6659"/>
      <c r="BF41" s="6659"/>
      <c r="BG41" s="6659"/>
      <c r="BH41" s="6659"/>
      <c r="BI41" s="6659"/>
      <c r="BJ41" s="6658">
        <f>OFFSET(BJ41,0,-1)+1</f>
        <v>1</v>
      </c>
      <c r="BK41" s="6658">
        <f>OFFSET(BK41,0,-1)+1</f>
        <v>2</v>
      </c>
      <c r="BL41" s="6658"/>
      <c r="BM41" s="6658">
        <f>OFFSET(BM41,0,-2)+1</f>
        <v>3</v>
      </c>
      <c r="BN41" s="6658">
        <f>OFFSET(BN41,0,-1)+1</f>
        <v>3</v>
      </c>
      <c r="BO41" s="6659"/>
      <c r="BP41" s="6659"/>
      <c r="BQ41" s="6659"/>
      <c r="BR41" s="6659"/>
      <c r="BS41" s="6659"/>
      <c r="BT41" s="6659"/>
      <c r="BU41" s="6658">
        <f>OFFSET(BU41,0,-1)+1</f>
        <v>1</v>
      </c>
      <c r="BV41" s="6658">
        <f>OFFSET(BV41,0,-1)+1</f>
        <v>2</v>
      </c>
      <c r="BW41" s="6658"/>
      <c r="BX41" s="6658">
        <f>OFFSET(BX41,0,-2)+1</f>
        <v>3</v>
      </c>
      <c r="BY41" s="6658">
        <f>OFFSET(BY41,0,-1)+1</f>
        <v>3</v>
      </c>
      <c r="BZ41" s="6659"/>
      <c r="CA41" s="6659"/>
      <c r="CB41" s="6659"/>
      <c r="CC41" s="6659"/>
      <c r="CD41" s="6659"/>
      <c r="CE41" s="6659"/>
      <c r="CF41" s="6658">
        <f>OFFSET(CF41,0,-1)+1</f>
        <v>1</v>
      </c>
      <c r="CG41" s="6658">
        <f>OFFSET(CG41,0,-1)+1</f>
        <v>2</v>
      </c>
      <c r="CH41" s="6658"/>
      <c r="CI41" s="6658">
        <f>OFFSET(CI41,0,-2)+1</f>
        <v>3</v>
      </c>
      <c r="CJ41" s="6658">
        <f>OFFSET(CJ41,0,-1)+1</f>
        <v>3</v>
      </c>
      <c r="CK41" s="6659"/>
      <c r="CL41" s="6659"/>
      <c r="CM41" s="6659"/>
      <c r="CN41" s="6659"/>
      <c r="CO41" s="6659"/>
      <c r="CP41" s="6659"/>
      <c r="CQ41" s="6658">
        <f>OFFSET(CQ41,0,-1)+1</f>
        <v>1</v>
      </c>
      <c r="CR41" s="6658">
        <f>OFFSET(CR41,0,-1)+1</f>
        <v>2</v>
      </c>
      <c r="CS41" s="6658"/>
      <c r="CT41" s="6658">
        <f>OFFSET(CT41,0,-2)+1</f>
        <v>3</v>
      </c>
      <c r="CU41" s="9814">
        <f>OFFSET(CU41,0,-1)+1</f>
        <v>3</v>
      </c>
      <c r="CV41" s="9815"/>
      <c r="CW41" s="9815"/>
      <c r="CX41" s="9815"/>
      <c r="CY41" s="9815"/>
      <c r="CZ41" s="9815"/>
      <c r="DA41" s="9815"/>
      <c r="DB41" s="9814">
        <f>OFFSET(DB41,0,-1)+1</f>
        <v>1</v>
      </c>
      <c r="DC41" s="9814">
        <f>OFFSET(DC41,0,-1)+1</f>
        <v>2</v>
      </c>
      <c r="DD41" s="9814"/>
      <c r="DE41" s="9814">
        <f>OFFSET(DE41,0,-2)+1</f>
        <v>3</v>
      </c>
      <c r="DF41" s="9814">
        <f>OFFSET(DF41,0,-1)+1</f>
        <v>3</v>
      </c>
      <c r="DG41" s="9815"/>
      <c r="DH41" s="9815"/>
      <c r="DI41" s="9815"/>
      <c r="DJ41" s="9815"/>
      <c r="DK41" s="9815"/>
      <c r="DL41" s="9815"/>
      <c r="DM41" s="9814">
        <f>OFFSET(DM41,0,-1)+1</f>
        <v>1</v>
      </c>
      <c r="DN41" s="9814">
        <f>OFFSET(DN41,0,-1)+1</f>
        <v>2</v>
      </c>
      <c r="DO41" s="9814"/>
      <c r="DP41" s="9814">
        <f>OFFSET(DP41,0,-2)+1</f>
        <v>3</v>
      </c>
      <c r="DQ41" s="1471">
        <f>OFFSET(DQ41,0,-1)</f>
        <v>4</v>
      </c>
      <c r="DR41" s="1709">
        <f>OFFSET(DR41,0,-1)+1</f>
        <v>5</v>
      </c>
      <c r="DS41" s="733"/>
      <c r="DT41" s="733"/>
      <c r="DU41" s="733"/>
      <c r="DV41" s="733"/>
      <c r="DW41" s="733"/>
    </row>
    <row customHeight="1" ht="23.25">
      <c r="A42" s="1590" t="s">
        <v>302</v>
      </c>
      <c r="B42" s="1590"/>
      <c r="C42" s="1590"/>
      <c r="D42" s="1590"/>
      <c r="E42" s="2388">
        <v>1</v>
      </c>
      <c r="F42" s="1590"/>
      <c r="G42" s="1590"/>
      <c r="H42" s="1590"/>
      <c r="I42" s="1590"/>
      <c r="J42" s="1590"/>
      <c r="K42" s="1590"/>
      <c r="L42" s="1591"/>
      <c r="M42" s="1592"/>
      <c r="N42" s="1592"/>
      <c r="O42" s="1592"/>
      <c r="P42" s="583"/>
      <c r="Q42" s="582"/>
      <c r="R42" s="577"/>
      <c r="S42" s="1720">
        <f>INDEX(PT_DIFFERENTIATION_NUM_NTAR,MATCH(A42,PT_DIFFERENTIATION_NTAR_ID,0))</f>
        <v>1</v>
      </c>
      <c r="T42" s="520" t="s">
        <v>179</v>
      </c>
      <c r="U42" s="522"/>
      <c r="V42" s="2382"/>
      <c r="W42" s="2383"/>
      <c r="X42" s="2383"/>
      <c r="Y42" s="2383"/>
      <c r="Z42" s="2383"/>
      <c r="AA42" s="2383"/>
      <c r="AB42" s="2383"/>
      <c r="AC42" s="2383"/>
      <c r="AD42" s="2383"/>
      <c r="AE42" s="2383"/>
      <c r="AF42" s="2384"/>
      <c r="AG42" s="2382" t="str">
        <f>INDEX(PT_DIFFERENTIATION_NTAR,MATCH(A42,PT_DIFFERENTIATION_NTAR_ID,0))</f>
        <v>Горячее водоснажение (закрытая система)</v>
      </c>
      <c r="AH42" s="2383"/>
      <c r="AI42" s="2383"/>
      <c r="AJ42" s="2383"/>
      <c r="AK42" s="2383"/>
      <c r="AL42" s="2383"/>
      <c r="AM42" s="2383"/>
      <c r="AN42" s="2383"/>
      <c r="AO42" s="2383"/>
      <c r="AP42" s="2383"/>
      <c r="AQ42" s="2383"/>
      <c r="AR42" s="6446"/>
      <c r="AS42" s="6447"/>
      <c r="AT42" s="6447"/>
      <c r="AU42" s="6447"/>
      <c r="AV42" s="6447"/>
      <c r="AW42" s="6447"/>
      <c r="AX42" s="6447"/>
      <c r="AY42" s="6447"/>
      <c r="AZ42" s="6447"/>
      <c r="BA42" s="6447"/>
      <c r="BB42" s="6448"/>
      <c r="BC42" s="6446"/>
      <c r="BD42" s="6447"/>
      <c r="BE42" s="6447"/>
      <c r="BF42" s="6447"/>
      <c r="BG42" s="6447"/>
      <c r="BH42" s="6447"/>
      <c r="BI42" s="6447"/>
      <c r="BJ42" s="6447"/>
      <c r="BK42" s="6447"/>
      <c r="BL42" s="6447"/>
      <c r="BM42" s="6448"/>
      <c r="BN42" s="6446"/>
      <c r="BO42" s="6447"/>
      <c r="BP42" s="6447"/>
      <c r="BQ42" s="6447"/>
      <c r="BR42" s="6447"/>
      <c r="BS42" s="6447"/>
      <c r="BT42" s="6447"/>
      <c r="BU42" s="6447"/>
      <c r="BV42" s="6447"/>
      <c r="BW42" s="6447"/>
      <c r="BX42" s="6448"/>
      <c r="BY42" s="6446"/>
      <c r="BZ42" s="6447"/>
      <c r="CA42" s="6447"/>
      <c r="CB42" s="6447"/>
      <c r="CC42" s="6447"/>
      <c r="CD42" s="6447"/>
      <c r="CE42" s="6447"/>
      <c r="CF42" s="6447"/>
      <c r="CG42" s="6447"/>
      <c r="CH42" s="6447"/>
      <c r="CI42" s="6448"/>
      <c r="CJ42" s="6446"/>
      <c r="CK42" s="6447"/>
      <c r="CL42" s="6447"/>
      <c r="CM42" s="6447"/>
      <c r="CN42" s="6447"/>
      <c r="CO42" s="6447"/>
      <c r="CP42" s="6447"/>
      <c r="CQ42" s="6447"/>
      <c r="CR42" s="6447"/>
      <c r="CS42" s="6447"/>
      <c r="CT42" s="6448"/>
      <c r="CU42" s="9494"/>
      <c r="CV42" s="9495"/>
      <c r="CW42" s="9495"/>
      <c r="CX42" s="9495"/>
      <c r="CY42" s="9495"/>
      <c r="CZ42" s="9495"/>
      <c r="DA42" s="9495"/>
      <c r="DB42" s="9495"/>
      <c r="DC42" s="9495"/>
      <c r="DD42" s="9495"/>
      <c r="DE42" s="9496"/>
      <c r="DF42" s="9494"/>
      <c r="DG42" s="9495"/>
      <c r="DH42" s="9495"/>
      <c r="DI42" s="9495"/>
      <c r="DJ42" s="9495"/>
      <c r="DK42" s="9495"/>
      <c r="DL42" s="9495"/>
      <c r="DM42" s="9495"/>
      <c r="DN42" s="9495"/>
      <c r="DO42" s="9495"/>
      <c r="DP42" s="9496"/>
      <c r="DQ42" s="2384"/>
      <c r="DR42" s="14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DT42" s="722"/>
      <c r="DU42" s="722" t="str">
        <f>IF(T42="","",T42)</f>
        <v>Наименование тарифа</v>
      </c>
      <c r="DV42" s="722"/>
      <c r="DW42" s="722"/>
    </row>
    <row customHeight="1" ht="23.25">
      <c r="A43" s="1590" t="s">
        <v>302</v>
      </c>
      <c r="B43" s="1590" t="s">
        <v>303</v>
      </c>
      <c r="C43" s="1590"/>
      <c r="D43" s="1590"/>
      <c r="E43" s="2389"/>
      <c r="F43" s="2388">
        <v>1</v>
      </c>
      <c r="G43" s="1590"/>
      <c r="H43" s="1590"/>
      <c r="I43" s="1590"/>
      <c r="J43" s="1590"/>
      <c r="K43" s="1590"/>
      <c r="L43" s="1591"/>
      <c r="M43" s="1592"/>
      <c r="N43" s="1592"/>
      <c r="O43" s="1592"/>
      <c r="P43" s="1714"/>
      <c r="Q43" s="574"/>
      <c r="R43" s="575"/>
      <c r="S43" s="1720" t="str">
        <f>INDEX(PT_DIFFERENTIATION_NUM_TER,MATCH(B43,PT_DIFFERENTIATION_TER_ID,0))</f>
        <v>1.1</v>
      </c>
      <c r="T43" s="530" t="s">
        <v>503</v>
      </c>
      <c r="U43" s="522"/>
      <c r="V43" s="2382"/>
      <c r="W43" s="2383"/>
      <c r="X43" s="2383"/>
      <c r="Y43" s="2383"/>
      <c r="Z43" s="2383"/>
      <c r="AA43" s="2383"/>
      <c r="AB43" s="2383"/>
      <c r="AC43" s="2383"/>
      <c r="AD43" s="2383"/>
      <c r="AE43" s="2383"/>
      <c r="AF43" s="2384"/>
      <c r="AG43" s="2382" t="str">
        <f>INDEX(PT_DIFFERENTIATION_TER,MATCH(B43,PT_DIFFERENTIATION_TER_ID,0))</f>
        <v>Территория 1</v>
      </c>
      <c r="AH43" s="2383"/>
      <c r="AI43" s="2383"/>
      <c r="AJ43" s="2383"/>
      <c r="AK43" s="2383"/>
      <c r="AL43" s="2383"/>
      <c r="AM43" s="2383"/>
      <c r="AN43" s="2383"/>
      <c r="AO43" s="2383"/>
      <c r="AP43" s="2383"/>
      <c r="AQ43" s="2383"/>
      <c r="AR43" s="6446"/>
      <c r="AS43" s="6447"/>
      <c r="AT43" s="6447"/>
      <c r="AU43" s="6447"/>
      <c r="AV43" s="6447"/>
      <c r="AW43" s="6447"/>
      <c r="AX43" s="6447"/>
      <c r="AY43" s="6447"/>
      <c r="AZ43" s="6447"/>
      <c r="BA43" s="6447"/>
      <c r="BB43" s="6448"/>
      <c r="BC43" s="6446"/>
      <c r="BD43" s="6447"/>
      <c r="BE43" s="6447"/>
      <c r="BF43" s="6447"/>
      <c r="BG43" s="6447"/>
      <c r="BH43" s="6447"/>
      <c r="BI43" s="6447"/>
      <c r="BJ43" s="6447"/>
      <c r="BK43" s="6447"/>
      <c r="BL43" s="6447"/>
      <c r="BM43" s="6448"/>
      <c r="BN43" s="6446"/>
      <c r="BO43" s="6447"/>
      <c r="BP43" s="6447"/>
      <c r="BQ43" s="6447"/>
      <c r="BR43" s="6447"/>
      <c r="BS43" s="6447"/>
      <c r="BT43" s="6447"/>
      <c r="BU43" s="6447"/>
      <c r="BV43" s="6447"/>
      <c r="BW43" s="6447"/>
      <c r="BX43" s="6448"/>
      <c r="BY43" s="6446"/>
      <c r="BZ43" s="6447"/>
      <c r="CA43" s="6447"/>
      <c r="CB43" s="6447"/>
      <c r="CC43" s="6447"/>
      <c r="CD43" s="6447"/>
      <c r="CE43" s="6447"/>
      <c r="CF43" s="6447"/>
      <c r="CG43" s="6447"/>
      <c r="CH43" s="6447"/>
      <c r="CI43" s="6448"/>
      <c r="CJ43" s="6446"/>
      <c r="CK43" s="6447"/>
      <c r="CL43" s="6447"/>
      <c r="CM43" s="6447"/>
      <c r="CN43" s="6447"/>
      <c r="CO43" s="6447"/>
      <c r="CP43" s="6447"/>
      <c r="CQ43" s="6447"/>
      <c r="CR43" s="6447"/>
      <c r="CS43" s="6447"/>
      <c r="CT43" s="6448"/>
      <c r="CU43" s="9494"/>
      <c r="CV43" s="9495"/>
      <c r="CW43" s="9495"/>
      <c r="CX43" s="9495"/>
      <c r="CY43" s="9495"/>
      <c r="CZ43" s="9495"/>
      <c r="DA43" s="9495"/>
      <c r="DB43" s="9495"/>
      <c r="DC43" s="9495"/>
      <c r="DD43" s="9495"/>
      <c r="DE43" s="9496"/>
      <c r="DF43" s="9494"/>
      <c r="DG43" s="9495"/>
      <c r="DH43" s="9495"/>
      <c r="DI43" s="9495"/>
      <c r="DJ43" s="9495"/>
      <c r="DK43" s="9495"/>
      <c r="DL43" s="9495"/>
      <c r="DM43" s="9495"/>
      <c r="DN43" s="9495"/>
      <c r="DO43" s="9495"/>
      <c r="DP43" s="9496"/>
      <c r="DQ43" s="2384"/>
      <c r="DR43" s="1484" t="s">
        <v>504</v>
      </c>
      <c r="DT43" s="722"/>
      <c r="DU43" s="722" t="str">
        <f>IF(T43="","",T43)</f>
        <v>Территория действия тарифа</v>
      </c>
      <c r="DV43" s="722"/>
      <c r="DW43" s="722"/>
    </row>
    <row customHeight="1" ht="23.25">
      <c r="A44" s="1590" t="s">
        <v>302</v>
      </c>
      <c r="B44" s="1590" t="s">
        <v>303</v>
      </c>
      <c r="C44" s="1590" t="s">
        <v>304</v>
      </c>
      <c r="D44" s="1590"/>
      <c r="E44" s="2389"/>
      <c r="F44" s="2389"/>
      <c r="G44" s="2388">
        <v>1</v>
      </c>
      <c r="H44" s="1590"/>
      <c r="I44" s="1590"/>
      <c r="J44" s="1590"/>
      <c r="K44" s="1590"/>
      <c r="L44" s="1591"/>
      <c r="M44" s="1592"/>
      <c r="N44" s="1592"/>
      <c r="O44" s="1592"/>
      <c r="P44" s="576"/>
      <c r="Q44" s="574"/>
      <c r="R44" s="575"/>
      <c r="S44" s="1720" t="str">
        <f>INDEX(PT_DIFFERENTIATION_NUM_CS,MATCH(C44,PT_DIFFERENTIATION_CS_ID,0))</f>
        <v>1.1.1</v>
      </c>
      <c r="T44" s="531" t="s">
        <v>634</v>
      </c>
      <c r="U44" s="522"/>
      <c r="V44" s="2382"/>
      <c r="W44" s="2383"/>
      <c r="X44" s="2383"/>
      <c r="Y44" s="2383"/>
      <c r="Z44" s="2383"/>
      <c r="AA44" s="2383"/>
      <c r="AB44" s="2383"/>
      <c r="AC44" s="2383"/>
      <c r="AD44" s="2383"/>
      <c r="AE44" s="2383"/>
      <c r="AF44" s="2384"/>
      <c r="AG44" s="2382" t="str">
        <f>INDEX(PT_DIFFERENTIATION_CS,MATCH(C44,PT_DIFFERENTIATION_CS_ID,0))</f>
        <v>пгт. Краскино</v>
      </c>
      <c r="AH44" s="2383"/>
      <c r="AI44" s="2383"/>
      <c r="AJ44" s="2383"/>
      <c r="AK44" s="2383"/>
      <c r="AL44" s="2383"/>
      <c r="AM44" s="2383"/>
      <c r="AN44" s="2383"/>
      <c r="AO44" s="2383"/>
      <c r="AP44" s="2383"/>
      <c r="AQ44" s="2383"/>
      <c r="AR44" s="6446"/>
      <c r="AS44" s="6447"/>
      <c r="AT44" s="6447"/>
      <c r="AU44" s="6447"/>
      <c r="AV44" s="6447"/>
      <c r="AW44" s="6447"/>
      <c r="AX44" s="6447"/>
      <c r="AY44" s="6447"/>
      <c r="AZ44" s="6447"/>
      <c r="BA44" s="6447"/>
      <c r="BB44" s="6448"/>
      <c r="BC44" s="6446"/>
      <c r="BD44" s="6447"/>
      <c r="BE44" s="6447"/>
      <c r="BF44" s="6447"/>
      <c r="BG44" s="6447"/>
      <c r="BH44" s="6447"/>
      <c r="BI44" s="6447"/>
      <c r="BJ44" s="6447"/>
      <c r="BK44" s="6447"/>
      <c r="BL44" s="6447"/>
      <c r="BM44" s="6448"/>
      <c r="BN44" s="6446"/>
      <c r="BO44" s="6447"/>
      <c r="BP44" s="6447"/>
      <c r="BQ44" s="6447"/>
      <c r="BR44" s="6447"/>
      <c r="BS44" s="6447"/>
      <c r="BT44" s="6447"/>
      <c r="BU44" s="6447"/>
      <c r="BV44" s="6447"/>
      <c r="BW44" s="6447"/>
      <c r="BX44" s="6448"/>
      <c r="BY44" s="6446"/>
      <c r="BZ44" s="6447"/>
      <c r="CA44" s="6447"/>
      <c r="CB44" s="6447"/>
      <c r="CC44" s="6447"/>
      <c r="CD44" s="6447"/>
      <c r="CE44" s="6447"/>
      <c r="CF44" s="6447"/>
      <c r="CG44" s="6447"/>
      <c r="CH44" s="6447"/>
      <c r="CI44" s="6448"/>
      <c r="CJ44" s="6446"/>
      <c r="CK44" s="6447"/>
      <c r="CL44" s="6447"/>
      <c r="CM44" s="6447"/>
      <c r="CN44" s="6447"/>
      <c r="CO44" s="6447"/>
      <c r="CP44" s="6447"/>
      <c r="CQ44" s="6447"/>
      <c r="CR44" s="6447"/>
      <c r="CS44" s="6447"/>
      <c r="CT44" s="6448"/>
      <c r="CU44" s="9494"/>
      <c r="CV44" s="9495"/>
      <c r="CW44" s="9495"/>
      <c r="CX44" s="9495"/>
      <c r="CY44" s="9495"/>
      <c r="CZ44" s="9495"/>
      <c r="DA44" s="9495"/>
      <c r="DB44" s="9495"/>
      <c r="DC44" s="9495"/>
      <c r="DD44" s="9495"/>
      <c r="DE44" s="9496"/>
      <c r="DF44" s="9494"/>
      <c r="DG44" s="9495"/>
      <c r="DH44" s="9495"/>
      <c r="DI44" s="9495"/>
      <c r="DJ44" s="9495"/>
      <c r="DK44" s="9495"/>
      <c r="DL44" s="9495"/>
      <c r="DM44" s="9495"/>
      <c r="DN44" s="9495"/>
      <c r="DO44" s="9495"/>
      <c r="DP44" s="9496"/>
      <c r="DQ44" s="2384"/>
      <c r="DR44" s="1484" t="s">
        <v>635</v>
      </c>
      <c r="DT44" s="722"/>
      <c r="DU44" s="722" t="str">
        <f>IF(T44="","",T44)</f>
        <v>Наименование централизованной системы горячего водоснабжения</v>
      </c>
      <c r="DV44" s="722"/>
      <c r="DW44" s="722"/>
    </row>
    <row customHeight="1" ht="23.25">
      <c r="A45" s="1590" t="s">
        <v>302</v>
      </c>
      <c r="B45" s="1590" t="s">
        <v>303</v>
      </c>
      <c r="C45" s="1590" t="s">
        <v>304</v>
      </c>
      <c r="D45" s="1590" t="s">
        <v>646</v>
      </c>
      <c r="E45" s="2389"/>
      <c r="F45" s="2389"/>
      <c r="G45" s="2389"/>
      <c r="H45" s="2389"/>
      <c r="I45" s="2390" t="str">
        <f>S44&amp;".1"</f>
        <v>1.1.1.1</v>
      </c>
      <c r="J45" s="1590"/>
      <c r="K45" s="1590"/>
      <c r="L45" s="1591"/>
      <c r="P45" s="2392">
        <v>1</v>
      </c>
      <c r="Q45" s="1708"/>
      <c r="R45" s="578"/>
      <c r="S45" s="1720" t="str">
        <f>$I45</f>
        <v>1.1.1.1</v>
      </c>
      <c r="T45" s="507" t="s">
        <v>587</v>
      </c>
      <c r="U45" s="522"/>
      <c r="V45" s="2475"/>
      <c r="W45" s="2476"/>
      <c r="X45" s="2476"/>
      <c r="Y45" s="2476"/>
      <c r="Z45" s="2476"/>
      <c r="AA45" s="2476"/>
      <c r="AB45" s="2476"/>
      <c r="AC45" s="2476"/>
      <c r="AD45" s="2476"/>
      <c r="AE45" s="2476"/>
      <c r="AF45" s="2477"/>
      <c r="AG45" s="2478"/>
      <c r="AH45" s="2479"/>
      <c r="AI45" s="2479"/>
      <c r="AJ45" s="2479"/>
      <c r="AK45" s="2479"/>
      <c r="AL45" s="2479"/>
      <c r="AM45" s="2479"/>
      <c r="AN45" s="2479"/>
      <c r="AO45" s="2479"/>
      <c r="AP45" s="2479"/>
      <c r="AQ45" s="2479"/>
      <c r="AR45" s="6449"/>
      <c r="AS45" s="6450"/>
      <c r="AT45" s="6450"/>
      <c r="AU45" s="6450"/>
      <c r="AV45" s="6450"/>
      <c r="AW45" s="6450"/>
      <c r="AX45" s="6450"/>
      <c r="AY45" s="6450"/>
      <c r="AZ45" s="6450"/>
      <c r="BA45" s="6450"/>
      <c r="BB45" s="6451"/>
      <c r="BC45" s="6449"/>
      <c r="BD45" s="6450"/>
      <c r="BE45" s="6450"/>
      <c r="BF45" s="6450"/>
      <c r="BG45" s="6450"/>
      <c r="BH45" s="6450"/>
      <c r="BI45" s="6450"/>
      <c r="BJ45" s="6450"/>
      <c r="BK45" s="6450"/>
      <c r="BL45" s="6450"/>
      <c r="BM45" s="6451"/>
      <c r="BN45" s="6449"/>
      <c r="BO45" s="6450"/>
      <c r="BP45" s="6450"/>
      <c r="BQ45" s="6450"/>
      <c r="BR45" s="6450"/>
      <c r="BS45" s="6450"/>
      <c r="BT45" s="6450"/>
      <c r="BU45" s="6450"/>
      <c r="BV45" s="6450"/>
      <c r="BW45" s="6450"/>
      <c r="BX45" s="6451"/>
      <c r="BY45" s="6449"/>
      <c r="BZ45" s="6450"/>
      <c r="CA45" s="6450"/>
      <c r="CB45" s="6450"/>
      <c r="CC45" s="6450"/>
      <c r="CD45" s="6450"/>
      <c r="CE45" s="6450"/>
      <c r="CF45" s="6450"/>
      <c r="CG45" s="6450"/>
      <c r="CH45" s="6450"/>
      <c r="CI45" s="6451"/>
      <c r="CJ45" s="6449"/>
      <c r="CK45" s="6450"/>
      <c r="CL45" s="6450"/>
      <c r="CM45" s="6450"/>
      <c r="CN45" s="6450"/>
      <c r="CO45" s="6450"/>
      <c r="CP45" s="6450"/>
      <c r="CQ45" s="6450"/>
      <c r="CR45" s="6450"/>
      <c r="CS45" s="6450"/>
      <c r="CT45" s="6451"/>
      <c r="CU45" s="9500"/>
      <c r="CV45" s="9501"/>
      <c r="CW45" s="9501"/>
      <c r="CX45" s="9501"/>
      <c r="CY45" s="9501"/>
      <c r="CZ45" s="9501"/>
      <c r="DA45" s="9501"/>
      <c r="DB45" s="9501"/>
      <c r="DC45" s="9501"/>
      <c r="DD45" s="9501"/>
      <c r="DE45" s="9502"/>
      <c r="DF45" s="9500"/>
      <c r="DG45" s="9501"/>
      <c r="DH45" s="9501"/>
      <c r="DI45" s="9501"/>
      <c r="DJ45" s="9501"/>
      <c r="DK45" s="9501"/>
      <c r="DL45" s="9501"/>
      <c r="DM45" s="9501"/>
      <c r="DN45" s="9501"/>
      <c r="DO45" s="9501"/>
      <c r="DP45" s="9502"/>
      <c r="DQ45" s="2480"/>
      <c r="DR45" s="1484" t="s">
        <v>588</v>
      </c>
      <c r="DT45" s="722"/>
      <c r="DU45" s="722" t="str">
        <f>IF(T45="","",T45)</f>
        <v>Наименование признака дифференциации</v>
      </c>
      <c r="DV45" s="722"/>
      <c r="DW45" s="722"/>
    </row>
    <row customHeight="1" ht="23.25">
      <c r="A46" s="1590" t="s">
        <v>302</v>
      </c>
      <c r="B46" s="1590" t="s">
        <v>303</v>
      </c>
      <c r="C46" s="1590" t="s">
        <v>304</v>
      </c>
      <c r="D46" s="1590" t="s">
        <v>646</v>
      </c>
      <c r="E46" s="2389"/>
      <c r="F46" s="2389"/>
      <c r="G46" s="2389"/>
      <c r="H46" s="2389"/>
      <c r="I46" s="2391"/>
      <c r="J46" s="2390" t="str">
        <f>I45&amp;".1"</f>
        <v>1.1.1.1.1</v>
      </c>
      <c r="K46" s="1590"/>
      <c r="L46" s="1591" t="s">
        <v>512</v>
      </c>
      <c r="P46" s="2392"/>
      <c r="Q46" s="2392">
        <v>1</v>
      </c>
      <c r="R46" s="579"/>
      <c r="S46" s="1720" t="str">
        <f>$J46</f>
        <v>1.1.1.1.1</v>
      </c>
      <c r="T46" s="508" t="s">
        <v>513</v>
      </c>
      <c r="U46" s="522"/>
      <c r="V46" s="2376"/>
      <c r="W46" s="2377"/>
      <c r="X46" s="2377"/>
      <c r="Y46" s="2377"/>
      <c r="Z46" s="2377"/>
      <c r="AA46" s="2377"/>
      <c r="AB46" s="2377"/>
      <c r="AC46" s="2377"/>
      <c r="AD46" s="2377"/>
      <c r="AE46" s="2377"/>
      <c r="AF46" s="2378"/>
      <c r="AG46" s="2376" t="s">
        <v>647</v>
      </c>
      <c r="AH46" s="2377"/>
      <c r="AI46" s="2377"/>
      <c r="AJ46" s="2377"/>
      <c r="AK46" s="2377"/>
      <c r="AL46" s="2377"/>
      <c r="AM46" s="2377"/>
      <c r="AN46" s="2377"/>
      <c r="AO46" s="2377"/>
      <c r="AP46" s="2377"/>
      <c r="AQ46" s="2377"/>
      <c r="AR46" s="6452"/>
      <c r="AS46" s="6453"/>
      <c r="AT46" s="6453"/>
      <c r="AU46" s="6453"/>
      <c r="AV46" s="6453"/>
      <c r="AW46" s="6453"/>
      <c r="AX46" s="6453"/>
      <c r="AY46" s="6453"/>
      <c r="AZ46" s="6453"/>
      <c r="BA46" s="6453"/>
      <c r="BB46" s="6454"/>
      <c r="BC46" s="6452"/>
      <c r="BD46" s="6453"/>
      <c r="BE46" s="6453"/>
      <c r="BF46" s="6453"/>
      <c r="BG46" s="6453"/>
      <c r="BH46" s="6453"/>
      <c r="BI46" s="6453"/>
      <c r="BJ46" s="6453"/>
      <c r="BK46" s="6453"/>
      <c r="BL46" s="6453"/>
      <c r="BM46" s="6454"/>
      <c r="BN46" s="6452"/>
      <c r="BO46" s="6453"/>
      <c r="BP46" s="6453"/>
      <c r="BQ46" s="6453"/>
      <c r="BR46" s="6453"/>
      <c r="BS46" s="6453"/>
      <c r="BT46" s="6453"/>
      <c r="BU46" s="6453"/>
      <c r="BV46" s="6453"/>
      <c r="BW46" s="6453"/>
      <c r="BX46" s="6454"/>
      <c r="BY46" s="6452"/>
      <c r="BZ46" s="6453"/>
      <c r="CA46" s="6453"/>
      <c r="CB46" s="6453"/>
      <c r="CC46" s="6453"/>
      <c r="CD46" s="6453"/>
      <c r="CE46" s="6453"/>
      <c r="CF46" s="6453"/>
      <c r="CG46" s="6453"/>
      <c r="CH46" s="6453"/>
      <c r="CI46" s="6454"/>
      <c r="CJ46" s="6452"/>
      <c r="CK46" s="6453"/>
      <c r="CL46" s="6453"/>
      <c r="CM46" s="6453"/>
      <c r="CN46" s="6453"/>
      <c r="CO46" s="6453"/>
      <c r="CP46" s="6453"/>
      <c r="CQ46" s="6453"/>
      <c r="CR46" s="6453"/>
      <c r="CS46" s="6453"/>
      <c r="CT46" s="6454"/>
      <c r="CU46" s="9506"/>
      <c r="CV46" s="9507"/>
      <c r="CW46" s="9507"/>
      <c r="CX46" s="9507"/>
      <c r="CY46" s="9507"/>
      <c r="CZ46" s="9507"/>
      <c r="DA46" s="9507"/>
      <c r="DB46" s="9507"/>
      <c r="DC46" s="9507"/>
      <c r="DD46" s="9507"/>
      <c r="DE46" s="9508"/>
      <c r="DF46" s="9506"/>
      <c r="DG46" s="9507"/>
      <c r="DH46" s="9507"/>
      <c r="DI46" s="9507"/>
      <c r="DJ46" s="9507"/>
      <c r="DK46" s="9507"/>
      <c r="DL46" s="9507"/>
      <c r="DM46" s="9507"/>
      <c r="DN46" s="9507"/>
      <c r="DO46" s="9507"/>
      <c r="DP46" s="9508"/>
      <c r="DQ46" s="2378"/>
      <c r="DR46" s="1534" t="s">
        <v>589</v>
      </c>
      <c r="DT46" s="722"/>
      <c r="DU46" s="722" t="str">
        <f>IF(T46="","",T46)</f>
        <v>Группа потребителей</v>
      </c>
      <c r="DV46" s="722"/>
      <c r="DW46" s="722"/>
    </row>
    <row customHeight="1" ht="23.25">
      <c r="A47" s="1590" t="s">
        <v>302</v>
      </c>
      <c r="B47" s="1590" t="s">
        <v>303</v>
      </c>
      <c r="C47" s="1590" t="s">
        <v>304</v>
      </c>
      <c r="D47" s="1590" t="s">
        <v>646</v>
      </c>
      <c r="E47" s="2389"/>
      <c r="F47" s="2389"/>
      <c r="G47" s="2389"/>
      <c r="H47" s="2389"/>
      <c r="I47" s="2391"/>
      <c r="J47" s="2391"/>
      <c r="K47" s="2390" t="str">
        <f>J46&amp;".1"</f>
        <v>1.1.1.1.1.1</v>
      </c>
      <c r="L47" s="1591"/>
      <c r="P47" s="2392"/>
      <c r="Q47" s="2392"/>
      <c r="R47" s="579">
        <v>1</v>
      </c>
      <c r="S47" s="1720" t="str">
        <f>$K47</f>
        <v>1.1.1.1.1.1</v>
      </c>
      <c r="T47" s="1664" t="s">
        <v>648</v>
      </c>
      <c r="U47" s="522"/>
      <c r="V47" s="6455"/>
      <c r="W47" s="6455"/>
      <c r="X47" s="6455"/>
      <c r="Y47" s="6455"/>
      <c r="Z47" s="6455"/>
      <c r="AA47" s="6455"/>
      <c r="AB47" s="6455"/>
      <c r="AC47" s="6456"/>
      <c r="AD47" s="6457" t="s">
        <v>63</v>
      </c>
      <c r="AE47" s="6660"/>
      <c r="AF47" s="6457" t="s">
        <v>63</v>
      </c>
      <c r="AG47" s="973">
        <v>255.64</v>
      </c>
      <c r="AH47" s="973"/>
      <c r="AI47" s="973"/>
      <c r="AJ47" s="973"/>
      <c r="AK47" s="973"/>
      <c r="AL47" s="973"/>
      <c r="AM47" s="973"/>
      <c r="AN47" s="9513">
        <v>45658.60768518518</v>
      </c>
      <c r="AO47" s="2263" t="s">
        <v>63</v>
      </c>
      <c r="AP47" s="9817">
        <v>45838.607766203706</v>
      </c>
      <c r="AQ47" s="2263" t="s">
        <v>63</v>
      </c>
      <c r="AR47" s="6455">
        <v>574.29</v>
      </c>
      <c r="AS47" s="6455"/>
      <c r="AT47" s="6455"/>
      <c r="AU47" s="6455"/>
      <c r="AV47" s="6455"/>
      <c r="AW47" s="6455"/>
      <c r="AX47" s="6455"/>
      <c r="AY47" s="9513">
        <v>45839.60800925926</v>
      </c>
      <c r="AZ47" s="6457" t="s">
        <v>63</v>
      </c>
      <c r="BA47" s="9817">
        <v>46022</v>
      </c>
      <c r="BB47" s="6457" t="s">
        <v>63</v>
      </c>
      <c r="BC47" s="6455">
        <v>574.29</v>
      </c>
      <c r="BD47" s="6455"/>
      <c r="BE47" s="6455"/>
      <c r="BF47" s="6455"/>
      <c r="BG47" s="6455"/>
      <c r="BH47" s="6455"/>
      <c r="BI47" s="6455"/>
      <c r="BJ47" s="9513">
        <v>46023.60800925926</v>
      </c>
      <c r="BK47" s="6457" t="s">
        <v>63</v>
      </c>
      <c r="BL47" s="9817">
        <v>46203</v>
      </c>
      <c r="BM47" s="6457" t="s">
        <v>63</v>
      </c>
      <c r="BN47" s="6455">
        <v>597.26</v>
      </c>
      <c r="BO47" s="6455"/>
      <c r="BP47" s="6455"/>
      <c r="BQ47" s="6455"/>
      <c r="BR47" s="6455"/>
      <c r="BS47" s="6455"/>
      <c r="BT47" s="6455"/>
      <c r="BU47" s="6456">
        <v>46204</v>
      </c>
      <c r="BV47" s="6457" t="s">
        <v>63</v>
      </c>
      <c r="BW47" s="9817">
        <v>46387</v>
      </c>
      <c r="BX47" s="6457" t="s">
        <v>63</v>
      </c>
      <c r="BY47" s="6455">
        <v>597.26</v>
      </c>
      <c r="BZ47" s="6455"/>
      <c r="CA47" s="6455"/>
      <c r="CB47" s="6455"/>
      <c r="CC47" s="6455"/>
      <c r="CD47" s="6455"/>
      <c r="CE47" s="6455"/>
      <c r="CF47" s="9513">
        <v>46388</v>
      </c>
      <c r="CG47" s="6457" t="s">
        <v>63</v>
      </c>
      <c r="CH47" s="9817">
        <v>46568</v>
      </c>
      <c r="CI47" s="6457" t="s">
        <v>63</v>
      </c>
      <c r="CJ47" s="6455">
        <v>621.15</v>
      </c>
      <c r="CK47" s="6455"/>
      <c r="CL47" s="6455"/>
      <c r="CM47" s="6455"/>
      <c r="CN47" s="6455"/>
      <c r="CO47" s="6455"/>
      <c r="CP47" s="6455"/>
      <c r="CQ47" s="9513">
        <v>46569</v>
      </c>
      <c r="CR47" s="6457" t="s">
        <v>63</v>
      </c>
      <c r="CS47" s="9817">
        <v>46752</v>
      </c>
      <c r="CT47" s="6457" t="s">
        <v>63</v>
      </c>
      <c r="CU47" s="9512">
        <v>621.15</v>
      </c>
      <c r="CV47" s="9512"/>
      <c r="CW47" s="9512"/>
      <c r="CX47" s="9512"/>
      <c r="CY47" s="9512"/>
      <c r="CZ47" s="9512"/>
      <c r="DA47" s="9512"/>
      <c r="DB47" s="9513">
        <v>46753.5083912037</v>
      </c>
      <c r="DC47" s="9514" t="s">
        <v>63</v>
      </c>
      <c r="DD47" s="9817">
        <v>46934.508576388886</v>
      </c>
      <c r="DE47" s="9514" t="s">
        <v>63</v>
      </c>
      <c r="DF47" s="9512">
        <v>646</v>
      </c>
      <c r="DG47" s="9512"/>
      <c r="DH47" s="9512"/>
      <c r="DI47" s="9512"/>
      <c r="DJ47" s="9512"/>
      <c r="DK47" s="9512"/>
      <c r="DL47" s="9512"/>
      <c r="DM47" s="9513">
        <v>46935.509305555555</v>
      </c>
      <c r="DN47" s="9514" t="s">
        <v>63</v>
      </c>
      <c r="DO47" s="9817">
        <v>47118.50950231482</v>
      </c>
      <c r="DP47" s="9514" t="s">
        <v>63</v>
      </c>
      <c r="DQ47" s="1665"/>
      <c r="DR47" s="24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S47" s="733">
        <f>STRCHECKDATE(V48:DQ48)</f>
      </c>
      <c r="DT47" s="722"/>
      <c r="DU47" s="722" t="str">
        <f>IF(T47="","",T47)</f>
        <v>Без НДС</v>
      </c>
      <c r="DV47" s="722"/>
      <c r="DW47" s="722"/>
    </row>
    <row customHeight="1" ht="0">
      <c r="A48" s="1590" t="s">
        <v>302</v>
      </c>
      <c r="B48" s="1590" t="s">
        <v>303</v>
      </c>
      <c r="C48" s="1590" t="s">
        <v>304</v>
      </c>
      <c r="D48" s="1590" t="s">
        <v>646</v>
      </c>
      <c r="E48" s="2389"/>
      <c r="F48" s="2389"/>
      <c r="G48" s="2389"/>
      <c r="H48" s="2389"/>
      <c r="I48" s="2391"/>
      <c r="J48" s="2391"/>
      <c r="K48" s="2390"/>
      <c r="L48" s="1591"/>
      <c r="P48" s="2392"/>
      <c r="Q48" s="2392"/>
      <c r="R48" s="579"/>
      <c r="S48" s="1717"/>
      <c r="T48" s="522"/>
      <c r="U48" s="522"/>
      <c r="V48" s="6458"/>
      <c r="W48" s="6458"/>
      <c r="X48" s="6458"/>
      <c r="Y48" s="6458"/>
      <c r="Z48" s="6458"/>
      <c r="AA48" s="6458"/>
      <c r="AB48" s="6458"/>
      <c r="AC48" s="6459"/>
      <c r="AD48" s="6457"/>
      <c r="AE48" s="6661"/>
      <c r="AF48" s="6457"/>
      <c r="AG48" s="547"/>
      <c r="AH48" s="547"/>
      <c r="AI48" s="547"/>
      <c r="AJ48" s="547"/>
      <c r="AK48" s="547"/>
      <c r="AL48" s="547"/>
      <c r="AM48" s="547"/>
      <c r="AN48" s="2394"/>
      <c r="AO48" s="2263"/>
      <c r="AP48" s="2396"/>
      <c r="AQ48" s="2263"/>
      <c r="AR48" s="6458"/>
      <c r="AS48" s="6458"/>
      <c r="AT48" s="6458"/>
      <c r="AU48" s="6458"/>
      <c r="AV48" s="6458"/>
      <c r="AW48" s="6458"/>
      <c r="AX48" s="6458"/>
      <c r="AY48" s="6459"/>
      <c r="AZ48" s="6457"/>
      <c r="BA48" s="6661"/>
      <c r="BB48" s="6457"/>
      <c r="BC48" s="6458"/>
      <c r="BD48" s="6458"/>
      <c r="BE48" s="6458"/>
      <c r="BF48" s="6458"/>
      <c r="BG48" s="6458"/>
      <c r="BH48" s="6458"/>
      <c r="BI48" s="6458"/>
      <c r="BJ48" s="6459"/>
      <c r="BK48" s="6457"/>
      <c r="BL48" s="6661"/>
      <c r="BM48" s="6457"/>
      <c r="BN48" s="6458"/>
      <c r="BO48" s="6458"/>
      <c r="BP48" s="6458"/>
      <c r="BQ48" s="6458"/>
      <c r="BR48" s="6458"/>
      <c r="BS48" s="6458"/>
      <c r="BT48" s="6458"/>
      <c r="BU48" s="6459"/>
      <c r="BV48" s="6457"/>
      <c r="BW48" s="6661"/>
      <c r="BX48" s="6457"/>
      <c r="BY48" s="6458"/>
      <c r="BZ48" s="6458"/>
      <c r="CA48" s="6458"/>
      <c r="CB48" s="6458"/>
      <c r="CC48" s="6458"/>
      <c r="CD48" s="6458"/>
      <c r="CE48" s="6458"/>
      <c r="CF48" s="6459"/>
      <c r="CG48" s="6457"/>
      <c r="CH48" s="6661"/>
      <c r="CI48" s="6457"/>
      <c r="CJ48" s="6458"/>
      <c r="CK48" s="6458"/>
      <c r="CL48" s="6458"/>
      <c r="CM48" s="6458"/>
      <c r="CN48" s="6458"/>
      <c r="CO48" s="6458"/>
      <c r="CP48" s="6458"/>
      <c r="CQ48" s="6459"/>
      <c r="CR48" s="6457"/>
      <c r="CS48" s="6661"/>
      <c r="CT48" s="6457"/>
      <c r="CU48" s="9517"/>
      <c r="CV48" s="9517"/>
      <c r="CW48" s="9517"/>
      <c r="CX48" s="9517"/>
      <c r="CY48" s="9517"/>
      <c r="CZ48" s="9517"/>
      <c r="DA48" s="9517"/>
      <c r="DB48" s="9518"/>
      <c r="DC48" s="9514"/>
      <c r="DD48" s="9819"/>
      <c r="DE48" s="9514"/>
      <c r="DF48" s="9517"/>
      <c r="DG48" s="9517"/>
      <c r="DH48" s="9517"/>
      <c r="DI48" s="9517"/>
      <c r="DJ48" s="9517"/>
      <c r="DK48" s="9517"/>
      <c r="DL48" s="9517"/>
      <c r="DM48" s="9518"/>
      <c r="DN48" s="9514"/>
      <c r="DO48" s="9819"/>
      <c r="DP48" s="9514"/>
      <c r="DQ48" s="1666"/>
      <c r="DR48" s="2481"/>
      <c r="DT48" s="722"/>
      <c r="DU48" s="722" t="str">
        <f>IF(T48="","",T48)</f>
        <v/>
      </c>
      <c r="DV48" s="722"/>
      <c r="DW48" s="722"/>
    </row>
    <row customHeight="1" ht="21">
      <c r="A49" s="1590" t="s">
        <v>302</v>
      </c>
      <c r="B49" s="1590" t="s">
        <v>303</v>
      </c>
      <c r="C49" s="1590" t="s">
        <v>304</v>
      </c>
      <c r="D49" s="1590" t="s">
        <v>646</v>
      </c>
      <c r="E49" s="2389"/>
      <c r="F49" s="2389"/>
      <c r="G49" s="2389"/>
      <c r="H49" s="2389"/>
      <c r="I49" s="2391"/>
      <c r="J49" s="2390"/>
      <c r="K49" s="1590"/>
      <c r="L49" s="1591"/>
      <c r="P49" s="2392"/>
      <c r="Q49" s="2392"/>
      <c r="R49" s="578"/>
      <c r="S49" s="1505"/>
      <c r="T49" s="509" t="s">
        <v>590</v>
      </c>
      <c r="U49" s="589"/>
      <c r="V49" s="589"/>
      <c r="W49" s="822"/>
      <c r="X49" s="822"/>
      <c r="Y49" s="822"/>
      <c r="Z49" s="822"/>
      <c r="AA49" s="822"/>
      <c r="AB49" s="822"/>
      <c r="AC49" s="589"/>
      <c r="AD49" s="589"/>
      <c r="AE49" s="589"/>
      <c r="AF49" s="589"/>
      <c r="AG49" s="589"/>
      <c r="AH49" s="822"/>
      <c r="AI49" s="822"/>
      <c r="AJ49" s="822"/>
      <c r="AK49" s="822"/>
      <c r="AL49" s="822"/>
      <c r="AM49" s="589"/>
      <c r="AN49" s="589"/>
      <c r="AO49" s="589"/>
      <c r="AP49" s="589"/>
      <c r="AQ49" s="589"/>
      <c r="AR49" s="6662"/>
      <c r="AS49" s="6663"/>
      <c r="AT49" s="6664"/>
      <c r="AU49" s="6665"/>
      <c r="AV49" s="6666"/>
      <c r="AW49" s="6667"/>
      <c r="AX49" s="6668"/>
      <c r="AY49" s="6669"/>
      <c r="AZ49" s="6670"/>
      <c r="BA49" s="6671"/>
      <c r="BB49" s="6672"/>
      <c r="BC49" s="6673"/>
      <c r="BD49" s="6674"/>
      <c r="BE49" s="6675"/>
      <c r="BF49" s="6676"/>
      <c r="BG49" s="6677"/>
      <c r="BH49" s="6678"/>
      <c r="BI49" s="6679"/>
      <c r="BJ49" s="6680"/>
      <c r="BK49" s="6681"/>
      <c r="BL49" s="6682"/>
      <c r="BM49" s="6683"/>
      <c r="BN49" s="6684"/>
      <c r="BO49" s="6685"/>
      <c r="BP49" s="6686"/>
      <c r="BQ49" s="6687"/>
      <c r="BR49" s="6688"/>
      <c r="BS49" s="6689"/>
      <c r="BT49" s="6690"/>
      <c r="BU49" s="6691"/>
      <c r="BV49" s="6692"/>
      <c r="BW49" s="6693"/>
      <c r="BX49" s="6694"/>
      <c r="BY49" s="6695"/>
      <c r="BZ49" s="6696"/>
      <c r="CA49" s="6697"/>
      <c r="CB49" s="6698"/>
      <c r="CC49" s="6699"/>
      <c r="CD49" s="6700"/>
      <c r="CE49" s="6701"/>
      <c r="CF49" s="6702"/>
      <c r="CG49" s="6703"/>
      <c r="CH49" s="6704"/>
      <c r="CI49" s="6705"/>
      <c r="CJ49" s="6706"/>
      <c r="CK49" s="6707"/>
      <c r="CL49" s="6708"/>
      <c r="CM49" s="6709"/>
      <c r="CN49" s="6710"/>
      <c r="CO49" s="6711"/>
      <c r="CP49" s="6712"/>
      <c r="CQ49" s="6713"/>
      <c r="CR49" s="6714"/>
      <c r="CS49" s="6715"/>
      <c r="CT49" s="6716"/>
      <c r="CU49" s="9875"/>
      <c r="CV49" s="9876"/>
      <c r="CW49" s="9877"/>
      <c r="CX49" s="9878"/>
      <c r="CY49" s="9879"/>
      <c r="CZ49" s="9880"/>
      <c r="DA49" s="9881"/>
      <c r="DB49" s="9882"/>
      <c r="DC49" s="9883"/>
      <c r="DD49" s="9884"/>
      <c r="DE49" s="9885"/>
      <c r="DF49" s="9886"/>
      <c r="DG49" s="9887"/>
      <c r="DH49" s="9888"/>
      <c r="DI49" s="9889"/>
      <c r="DJ49" s="9890"/>
      <c r="DK49" s="9891"/>
      <c r="DL49" s="9892"/>
      <c r="DM49" s="9893"/>
      <c r="DN49" s="9894"/>
      <c r="DO49" s="9895"/>
      <c r="DP49" s="9896"/>
      <c r="DQ49" s="589"/>
      <c r="DR49" s="1484" t="s">
        <v>591</v>
      </c>
      <c r="DT49" s="722"/>
      <c r="DU49" s="722" t="str">
        <f>IF(T49="","",T49)</f>
        <v>Добавить значение признака дифференциации</v>
      </c>
      <c r="DV49" s="722"/>
      <c r="DW49" s="722"/>
    </row>
    <row customHeight="1" ht="21">
      <c r="A50" s="1590" t="s">
        <v>302</v>
      </c>
      <c r="B50" s="1590" t="s">
        <v>303</v>
      </c>
      <c r="C50" s="1590" t="s">
        <v>304</v>
      </c>
      <c r="D50" s="1590" t="s">
        <v>646</v>
      </c>
      <c r="E50" s="2389"/>
      <c r="F50" s="2389"/>
      <c r="G50" s="2389"/>
      <c r="H50" s="2389"/>
      <c r="I50" s="2390"/>
      <c r="J50" s="1590"/>
      <c r="K50" s="1590"/>
      <c r="L50" s="1591"/>
      <c r="P50" s="2392"/>
      <c r="Q50" s="1708"/>
      <c r="R50" s="578"/>
      <c r="S50" s="1505"/>
      <c r="T50" s="587" t="s">
        <v>518</v>
      </c>
      <c r="U50" s="589"/>
      <c r="V50" s="589"/>
      <c r="W50" s="822"/>
      <c r="X50" s="822"/>
      <c r="Y50" s="822"/>
      <c r="Z50" s="822"/>
      <c r="AA50" s="822"/>
      <c r="AB50" s="822"/>
      <c r="AC50" s="589"/>
      <c r="AD50" s="589"/>
      <c r="AE50" s="589"/>
      <c r="AF50" s="588"/>
      <c r="AG50" s="589"/>
      <c r="AH50" s="822"/>
      <c r="AI50" s="822"/>
      <c r="AJ50" s="822"/>
      <c r="AK50" s="822"/>
      <c r="AL50" s="822"/>
      <c r="AM50" s="589"/>
      <c r="AN50" s="589"/>
      <c r="AO50" s="589"/>
      <c r="AP50" s="589"/>
      <c r="AQ50" s="588"/>
      <c r="AR50" s="6717"/>
      <c r="AS50" s="6718"/>
      <c r="AT50" s="6719"/>
      <c r="AU50" s="6720"/>
      <c r="AV50" s="6721"/>
      <c r="AW50" s="6722"/>
      <c r="AX50" s="6723"/>
      <c r="AY50" s="6724"/>
      <c r="AZ50" s="6725"/>
      <c r="BA50" s="6726"/>
      <c r="BB50" s="6727"/>
      <c r="BC50" s="6728"/>
      <c r="BD50" s="6729"/>
      <c r="BE50" s="6730"/>
      <c r="BF50" s="6731"/>
      <c r="BG50" s="6732"/>
      <c r="BH50" s="6733"/>
      <c r="BI50" s="6734"/>
      <c r="BJ50" s="6735"/>
      <c r="BK50" s="6736"/>
      <c r="BL50" s="6737"/>
      <c r="BM50" s="6738"/>
      <c r="BN50" s="6739"/>
      <c r="BO50" s="6740"/>
      <c r="BP50" s="6741"/>
      <c r="BQ50" s="6742"/>
      <c r="BR50" s="6743"/>
      <c r="BS50" s="6744"/>
      <c r="BT50" s="6745"/>
      <c r="BU50" s="6746"/>
      <c r="BV50" s="6747"/>
      <c r="BW50" s="6748"/>
      <c r="BX50" s="6749"/>
      <c r="BY50" s="6750"/>
      <c r="BZ50" s="6751"/>
      <c r="CA50" s="6752"/>
      <c r="CB50" s="6753"/>
      <c r="CC50" s="6754"/>
      <c r="CD50" s="6755"/>
      <c r="CE50" s="6756"/>
      <c r="CF50" s="6757"/>
      <c r="CG50" s="6758"/>
      <c r="CH50" s="6759"/>
      <c r="CI50" s="6760"/>
      <c r="CJ50" s="6761"/>
      <c r="CK50" s="6762"/>
      <c r="CL50" s="6763"/>
      <c r="CM50" s="6764"/>
      <c r="CN50" s="6765"/>
      <c r="CO50" s="6766"/>
      <c r="CP50" s="6767"/>
      <c r="CQ50" s="6768"/>
      <c r="CR50" s="6769"/>
      <c r="CS50" s="6770"/>
      <c r="CT50" s="6771"/>
      <c r="CU50" s="9952"/>
      <c r="CV50" s="9953"/>
      <c r="CW50" s="9954"/>
      <c r="CX50" s="9955"/>
      <c r="CY50" s="9956"/>
      <c r="CZ50" s="9957"/>
      <c r="DA50" s="9958"/>
      <c r="DB50" s="9959"/>
      <c r="DC50" s="9960"/>
      <c r="DD50" s="9961"/>
      <c r="DE50" s="9962"/>
      <c r="DF50" s="9963"/>
      <c r="DG50" s="9964"/>
      <c r="DH50" s="9965"/>
      <c r="DI50" s="9966"/>
      <c r="DJ50" s="9967"/>
      <c r="DK50" s="9968"/>
      <c r="DL50" s="9969"/>
      <c r="DM50" s="9970"/>
      <c r="DN50" s="9971"/>
      <c r="DO50" s="9972"/>
      <c r="DP50" s="9973"/>
      <c r="DQ50" s="589"/>
      <c r="DR50" s="1667"/>
      <c r="DT50" s="722"/>
      <c r="DU50" s="722" t="str">
        <f>IF(T50="","",T50)</f>
        <v>Добавить группу потребителей</v>
      </c>
      <c r="DV50" s="722"/>
      <c r="DW50" s="722"/>
    </row>
    <row customHeight="1" ht="21">
      <c r="A51" s="1590" t="s">
        <v>302</v>
      </c>
      <c r="B51" s="1590" t="s">
        <v>303</v>
      </c>
      <c r="C51" s="1590" t="s">
        <v>304</v>
      </c>
      <c r="D51" s="1590" t="s">
        <v>646</v>
      </c>
      <c r="E51" s="2389"/>
      <c r="F51" s="2389"/>
      <c r="G51" s="2389"/>
      <c r="H51" s="2388"/>
      <c r="I51" s="1590"/>
      <c r="J51" s="1590"/>
      <c r="K51" s="1590"/>
      <c r="L51" s="1591"/>
      <c r="M51" s="1592"/>
      <c r="N51" s="1592"/>
      <c r="O51" s="759"/>
      <c r="P51" s="582"/>
      <c r="Q51" s="597"/>
      <c r="R51" s="577"/>
      <c r="S51" s="1505"/>
      <c r="T51" s="594" t="s">
        <v>592</v>
      </c>
      <c r="U51" s="589"/>
      <c r="V51" s="589"/>
      <c r="W51" s="822"/>
      <c r="X51" s="822"/>
      <c r="Y51" s="822"/>
      <c r="Z51" s="822"/>
      <c r="AA51" s="822"/>
      <c r="AB51" s="822"/>
      <c r="AC51" s="589"/>
      <c r="AD51" s="589"/>
      <c r="AE51" s="589"/>
      <c r="AF51" s="588"/>
      <c r="AG51" s="589"/>
      <c r="AH51" s="822"/>
      <c r="AI51" s="822"/>
      <c r="AJ51" s="822"/>
      <c r="AK51" s="822"/>
      <c r="AL51" s="822"/>
      <c r="AM51" s="589"/>
      <c r="AN51" s="589"/>
      <c r="AO51" s="589"/>
      <c r="AP51" s="589"/>
      <c r="AQ51" s="588"/>
      <c r="AR51" s="6772"/>
      <c r="AS51" s="6773"/>
      <c r="AT51" s="6774"/>
      <c r="AU51" s="6775"/>
      <c r="AV51" s="6776"/>
      <c r="AW51" s="6777"/>
      <c r="AX51" s="6778"/>
      <c r="AY51" s="6779"/>
      <c r="AZ51" s="6780"/>
      <c r="BA51" s="6781"/>
      <c r="BB51" s="6782"/>
      <c r="BC51" s="6783"/>
      <c r="BD51" s="6784"/>
      <c r="BE51" s="6785"/>
      <c r="BF51" s="6786"/>
      <c r="BG51" s="6787"/>
      <c r="BH51" s="6788"/>
      <c r="BI51" s="6789"/>
      <c r="BJ51" s="6790"/>
      <c r="BK51" s="6791"/>
      <c r="BL51" s="6792"/>
      <c r="BM51" s="6793"/>
      <c r="BN51" s="6794"/>
      <c r="BO51" s="6795"/>
      <c r="BP51" s="6796"/>
      <c r="BQ51" s="6797"/>
      <c r="BR51" s="6798"/>
      <c r="BS51" s="6799"/>
      <c r="BT51" s="6800"/>
      <c r="BU51" s="6801"/>
      <c r="BV51" s="6802"/>
      <c r="BW51" s="6803"/>
      <c r="BX51" s="6804"/>
      <c r="BY51" s="6805"/>
      <c r="BZ51" s="6806"/>
      <c r="CA51" s="6807"/>
      <c r="CB51" s="6808"/>
      <c r="CC51" s="6809"/>
      <c r="CD51" s="6810"/>
      <c r="CE51" s="6811"/>
      <c r="CF51" s="6812"/>
      <c r="CG51" s="6813"/>
      <c r="CH51" s="6814"/>
      <c r="CI51" s="6815"/>
      <c r="CJ51" s="6816"/>
      <c r="CK51" s="6817"/>
      <c r="CL51" s="6818"/>
      <c r="CM51" s="6819"/>
      <c r="CN51" s="6820"/>
      <c r="CO51" s="6821"/>
      <c r="CP51" s="6822"/>
      <c r="CQ51" s="6823"/>
      <c r="CR51" s="6824"/>
      <c r="CS51" s="6825"/>
      <c r="CT51" s="6826"/>
      <c r="CU51" s="10029"/>
      <c r="CV51" s="10030"/>
      <c r="CW51" s="10031"/>
      <c r="CX51" s="10032"/>
      <c r="CY51" s="10033"/>
      <c r="CZ51" s="10034"/>
      <c r="DA51" s="10035"/>
      <c r="DB51" s="10036"/>
      <c r="DC51" s="10037"/>
      <c r="DD51" s="10038"/>
      <c r="DE51" s="10039"/>
      <c r="DF51" s="10040"/>
      <c r="DG51" s="10041"/>
      <c r="DH51" s="10042"/>
      <c r="DI51" s="10043"/>
      <c r="DJ51" s="10044"/>
      <c r="DK51" s="10045"/>
      <c r="DL51" s="10046"/>
      <c r="DM51" s="10047"/>
      <c r="DN51" s="10048"/>
      <c r="DO51" s="10049"/>
      <c r="DP51" s="10050"/>
      <c r="DQ51" s="589"/>
      <c r="DR51" s="525"/>
      <c r="DT51" s="722"/>
      <c r="DU51" s="722" t="str">
        <f>IF(T51="","",T51)</f>
        <v>Добавить наименование признака дифференциации</v>
      </c>
      <c r="DV51" s="722"/>
      <c r="DW51" s="722"/>
    </row>
    <row s="16531" customFormat="1" customHeight="1" ht="0">
      <c r="A52" s="1570" t="s">
        <v>302</v>
      </c>
      <c r="B52" s="1570" t="s">
        <v>303</v>
      </c>
      <c r="C52" s="1541"/>
      <c r="D52" s="1541"/>
      <c r="E52" s="2389"/>
      <c r="F52" s="2388"/>
      <c r="G52" s="1541"/>
      <c r="H52" s="1541"/>
      <c r="I52" s="1541"/>
      <c r="J52" s="1541"/>
      <c r="K52" s="1541"/>
      <c r="L52" s="1721"/>
      <c r="M52" s="1548"/>
      <c r="N52" s="1548"/>
      <c r="P52" s="1543"/>
      <c r="Q52" s="1544"/>
      <c r="R52" s="1543"/>
      <c r="S52" s="1549"/>
      <c r="T52" s="1552" t="s">
        <v>305</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6625"/>
      <c r="AS52" s="6625"/>
      <c r="AT52" s="6625"/>
      <c r="AU52" s="6625"/>
      <c r="AV52" s="6625"/>
      <c r="AW52" s="6625"/>
      <c r="AX52" s="6625"/>
      <c r="AY52" s="6625"/>
      <c r="AZ52" s="6625"/>
      <c r="BA52" s="6625"/>
      <c r="BB52" s="6625"/>
      <c r="BC52" s="6625"/>
      <c r="BD52" s="6625"/>
      <c r="BE52" s="6625"/>
      <c r="BF52" s="6625"/>
      <c r="BG52" s="6625"/>
      <c r="BH52" s="6625"/>
      <c r="BI52" s="6625"/>
      <c r="BJ52" s="6625"/>
      <c r="BK52" s="6625"/>
      <c r="BL52" s="6625"/>
      <c r="BM52" s="6625"/>
      <c r="BN52" s="6625"/>
      <c r="BO52" s="6625"/>
      <c r="BP52" s="6625"/>
      <c r="BQ52" s="6625"/>
      <c r="BR52" s="6625"/>
      <c r="BS52" s="6625"/>
      <c r="BT52" s="6625"/>
      <c r="BU52" s="6625"/>
      <c r="BV52" s="6625"/>
      <c r="BW52" s="6625"/>
      <c r="BX52" s="6625"/>
      <c r="BY52" s="6625"/>
      <c r="BZ52" s="6625"/>
      <c r="CA52" s="6625"/>
      <c r="CB52" s="6625"/>
      <c r="CC52" s="6625"/>
      <c r="CD52" s="6625"/>
      <c r="CE52" s="6625"/>
      <c r="CF52" s="6625"/>
      <c r="CG52" s="6625"/>
      <c r="CH52" s="6625"/>
      <c r="CI52" s="6625"/>
      <c r="CJ52" s="6625"/>
      <c r="CK52" s="6625"/>
      <c r="CL52" s="6625"/>
      <c r="CM52" s="6625"/>
      <c r="CN52" s="6625"/>
      <c r="CO52" s="6625"/>
      <c r="CP52" s="6625"/>
      <c r="CQ52" s="6625"/>
      <c r="CR52" s="6625"/>
      <c r="CS52" s="6625"/>
      <c r="CT52" s="6625"/>
      <c r="CU52" s="9751"/>
      <c r="CV52" s="9751"/>
      <c r="CW52" s="9751"/>
      <c r="CX52" s="9751"/>
      <c r="CY52" s="9751"/>
      <c r="CZ52" s="9751"/>
      <c r="DA52" s="9751"/>
      <c r="DB52" s="9751"/>
      <c r="DC52" s="9751"/>
      <c r="DD52" s="9751"/>
      <c r="DE52" s="9751"/>
      <c r="DF52" s="9751"/>
      <c r="DG52" s="9751"/>
      <c r="DH52" s="9751"/>
      <c r="DI52" s="9751"/>
      <c r="DJ52" s="9751"/>
      <c r="DK52" s="9751"/>
      <c r="DL52" s="9751"/>
      <c r="DM52" s="9751"/>
      <c r="DN52" s="9751"/>
      <c r="DO52" s="9751"/>
      <c r="DP52" s="9751"/>
      <c r="DQ52" s="1551"/>
      <c r="DR52" s="1551"/>
      <c r="DT52" s="1011"/>
      <c r="DU52" s="1011" t="str">
        <f>IF(T52="","",T52)</f>
        <v>Добавить централизованную систему для дифференциации</v>
      </c>
      <c r="DV52" s="1011"/>
      <c r="DW52" s="1011"/>
    </row>
    <row s="17469" customFormat="1" customHeight="1" ht="23.25">
      <c r="A53" s="10052"/>
      <c r="B53" s="10052" t="s">
        <v>307</v>
      </c>
      <c r="C53" s="10052"/>
      <c r="D53" s="10052"/>
      <c r="E53" s="10053"/>
      <c r="F53" s="10054" t="s">
        <v>99</v>
      </c>
      <c r="G53" s="10052"/>
      <c r="H53" s="10052"/>
      <c r="I53" s="10052"/>
      <c r="J53" s="10052"/>
      <c r="K53" s="10052"/>
      <c r="L53" s="10055"/>
      <c r="M53" s="10056"/>
      <c r="N53" s="10056"/>
      <c r="O53" s="10056"/>
      <c r="P53" s="10057"/>
      <c r="Q53" s="10058"/>
      <c r="R53" s="10059"/>
      <c r="S53" s="10060" t="str">
        <f>INDEX(PT_DIFFERENTIATION_NUM_TER,MATCH(B53,PT_DIFFERENTIATION_TER_ID,0))</f>
        <v>1.2</v>
      </c>
      <c r="T53" s="10061" t="s">
        <v>503</v>
      </c>
      <c r="U53" s="10062"/>
      <c r="V53" s="9494"/>
      <c r="W53" s="9495"/>
      <c r="X53" s="9495"/>
      <c r="Y53" s="9495"/>
      <c r="Z53" s="9495"/>
      <c r="AA53" s="9495"/>
      <c r="AB53" s="9495"/>
      <c r="AC53" s="9495"/>
      <c r="AD53" s="9495"/>
      <c r="AE53" s="9495"/>
      <c r="AF53" s="9496"/>
      <c r="AG53" s="9494" t="str">
        <f>INDEX(PT_DIFFERENTIATION_TER,MATCH(B53,PT_DIFFERENTIATION_TER_ID,0))</f>
        <v>Территория 2</v>
      </c>
      <c r="AH53" s="9495"/>
      <c r="AI53" s="9495"/>
      <c r="AJ53" s="9495"/>
      <c r="AK53" s="9495"/>
      <c r="AL53" s="9495"/>
      <c r="AM53" s="9495"/>
      <c r="AN53" s="9495"/>
      <c r="AO53" s="9495"/>
      <c r="AP53" s="9495"/>
      <c r="AQ53" s="9495"/>
      <c r="AR53" s="9494"/>
      <c r="AS53" s="9495"/>
      <c r="AT53" s="9495"/>
      <c r="AU53" s="9495"/>
      <c r="AV53" s="9495"/>
      <c r="AW53" s="9495"/>
      <c r="AX53" s="9495"/>
      <c r="AY53" s="9495"/>
      <c r="AZ53" s="9495"/>
      <c r="BA53" s="9495"/>
      <c r="BB53" s="9496"/>
      <c r="BC53" s="9494"/>
      <c r="BD53" s="9495"/>
      <c r="BE53" s="9495"/>
      <c r="BF53" s="9495"/>
      <c r="BG53" s="9495"/>
      <c r="BH53" s="9495"/>
      <c r="BI53" s="9495"/>
      <c r="BJ53" s="9495"/>
      <c r="BK53" s="9495"/>
      <c r="BL53" s="9495"/>
      <c r="BM53" s="9496"/>
      <c r="BN53" s="9494"/>
      <c r="BO53" s="9495"/>
      <c r="BP53" s="9495"/>
      <c r="BQ53" s="9495"/>
      <c r="BR53" s="9495"/>
      <c r="BS53" s="9495"/>
      <c r="BT53" s="9495"/>
      <c r="BU53" s="9495"/>
      <c r="BV53" s="9495"/>
      <c r="BW53" s="9495"/>
      <c r="BX53" s="9496"/>
      <c r="BY53" s="9494"/>
      <c r="BZ53" s="9495"/>
      <c r="CA53" s="9495"/>
      <c r="CB53" s="9495"/>
      <c r="CC53" s="9495"/>
      <c r="CD53" s="9495"/>
      <c r="CE53" s="9495"/>
      <c r="CF53" s="9495"/>
      <c r="CG53" s="9495"/>
      <c r="CH53" s="9495"/>
      <c r="CI53" s="9496"/>
      <c r="CJ53" s="9494"/>
      <c r="CK53" s="9495"/>
      <c r="CL53" s="9495"/>
      <c r="CM53" s="9495"/>
      <c r="CN53" s="9495"/>
      <c r="CO53" s="9495"/>
      <c r="CP53" s="9495"/>
      <c r="CQ53" s="9495"/>
      <c r="CR53" s="9495"/>
      <c r="CS53" s="9495"/>
      <c r="CT53" s="10063"/>
      <c r="CU53" s="9494"/>
      <c r="CV53" s="9495"/>
      <c r="CW53" s="9495"/>
      <c r="CX53" s="9495"/>
      <c r="CY53" s="9495"/>
      <c r="CZ53" s="9495"/>
      <c r="DA53" s="9495"/>
      <c r="DB53" s="9495"/>
      <c r="DC53" s="9495"/>
      <c r="DD53" s="9495"/>
      <c r="DE53" s="9496"/>
      <c r="DF53" s="9494"/>
      <c r="DG53" s="9495"/>
      <c r="DH53" s="9495"/>
      <c r="DI53" s="9495"/>
      <c r="DJ53" s="9495"/>
      <c r="DK53" s="9495"/>
      <c r="DL53" s="9495"/>
      <c r="DM53" s="9495"/>
      <c r="DN53" s="9495"/>
      <c r="DO53" s="9495"/>
      <c r="DP53" s="9496"/>
      <c r="DQ53" s="9496"/>
      <c r="DR53" s="10064" t="s">
        <v>504</v>
      </c>
      <c r="DS53" s="9769"/>
      <c r="DT53" s="10065"/>
      <c r="DU53" s="10065" t="str">
        <f>IF(T53="","",T53)</f>
        <v>Территория действия тарифа</v>
      </c>
      <c r="DV53" s="10065"/>
      <c r="DW53" s="10065"/>
    </row>
    <row s="17484" customFormat="1" customHeight="1" ht="23.25">
      <c r="A54" s="10052"/>
      <c r="B54" s="10052"/>
      <c r="C54" s="10052" t="s">
        <v>308</v>
      </c>
      <c r="D54" s="10052"/>
      <c r="E54" s="10053"/>
      <c r="F54" s="10053">
        <v>1</v>
      </c>
      <c r="G54" s="10054">
        <v>1</v>
      </c>
      <c r="H54" s="10052"/>
      <c r="I54" s="10052"/>
      <c r="J54" s="10052"/>
      <c r="K54" s="10052"/>
      <c r="L54" s="10055"/>
      <c r="M54" s="10056"/>
      <c r="N54" s="10056"/>
      <c r="O54" s="10056"/>
      <c r="P54" s="10067"/>
      <c r="Q54" s="10058"/>
      <c r="R54" s="10059"/>
      <c r="S54" s="10060" t="str">
        <f>INDEX(PT_DIFFERENTIATION_NUM_CS,MATCH(C54,PT_DIFFERENTIATION_CS_ID,0))</f>
        <v>1.2.1</v>
      </c>
      <c r="T54" s="10068" t="s">
        <v>634</v>
      </c>
      <c r="U54" s="10062"/>
      <c r="V54" s="9494"/>
      <c r="W54" s="9495"/>
      <c r="X54" s="9495"/>
      <c r="Y54" s="9495"/>
      <c r="Z54" s="9495"/>
      <c r="AA54" s="9495"/>
      <c r="AB54" s="9495"/>
      <c r="AC54" s="9495"/>
      <c r="AD54" s="9495"/>
      <c r="AE54" s="9495"/>
      <c r="AF54" s="9496"/>
      <c r="AG54" s="9494" t="str">
        <f>INDEX(PT_DIFFERENTIATION_CS,MATCH(C54,PT_DIFFERENTIATION_CS_ID,0))</f>
        <v>пгт. Смоляниново</v>
      </c>
      <c r="AH54" s="9495"/>
      <c r="AI54" s="9495"/>
      <c r="AJ54" s="9495"/>
      <c r="AK54" s="9495"/>
      <c r="AL54" s="9495"/>
      <c r="AM54" s="9495"/>
      <c r="AN54" s="9495"/>
      <c r="AO54" s="9495"/>
      <c r="AP54" s="9495"/>
      <c r="AQ54" s="9495"/>
      <c r="AR54" s="9494"/>
      <c r="AS54" s="9495"/>
      <c r="AT54" s="9495"/>
      <c r="AU54" s="9495"/>
      <c r="AV54" s="9495"/>
      <c r="AW54" s="9495"/>
      <c r="AX54" s="9495"/>
      <c r="AY54" s="9495"/>
      <c r="AZ54" s="9495"/>
      <c r="BA54" s="9495"/>
      <c r="BB54" s="9496"/>
      <c r="BC54" s="9494"/>
      <c r="BD54" s="9495"/>
      <c r="BE54" s="9495"/>
      <c r="BF54" s="9495"/>
      <c r="BG54" s="9495"/>
      <c r="BH54" s="9495"/>
      <c r="BI54" s="9495"/>
      <c r="BJ54" s="9495"/>
      <c r="BK54" s="9495"/>
      <c r="BL54" s="9495"/>
      <c r="BM54" s="9496"/>
      <c r="BN54" s="9494"/>
      <c r="BO54" s="9495"/>
      <c r="BP54" s="9495"/>
      <c r="BQ54" s="9495"/>
      <c r="BR54" s="9495"/>
      <c r="BS54" s="9495"/>
      <c r="BT54" s="9495"/>
      <c r="BU54" s="9495"/>
      <c r="BV54" s="9495"/>
      <c r="BW54" s="9495"/>
      <c r="BX54" s="9496"/>
      <c r="BY54" s="9494"/>
      <c r="BZ54" s="9495"/>
      <c r="CA54" s="9495"/>
      <c r="CB54" s="9495"/>
      <c r="CC54" s="9495"/>
      <c r="CD54" s="9495"/>
      <c r="CE54" s="9495"/>
      <c r="CF54" s="9495"/>
      <c r="CG54" s="9495"/>
      <c r="CH54" s="9495"/>
      <c r="CI54" s="9496"/>
      <c r="CJ54" s="9494"/>
      <c r="CK54" s="9495"/>
      <c r="CL54" s="9495"/>
      <c r="CM54" s="9495"/>
      <c r="CN54" s="9495"/>
      <c r="CO54" s="9495"/>
      <c r="CP54" s="9495"/>
      <c r="CQ54" s="9495"/>
      <c r="CR54" s="9495"/>
      <c r="CS54" s="9495"/>
      <c r="CT54" s="10063"/>
      <c r="CU54" s="9494"/>
      <c r="CV54" s="9495"/>
      <c r="CW54" s="9495"/>
      <c r="CX54" s="9495"/>
      <c r="CY54" s="9495"/>
      <c r="CZ54" s="9495"/>
      <c r="DA54" s="9495"/>
      <c r="DB54" s="9495"/>
      <c r="DC54" s="9495"/>
      <c r="DD54" s="9495"/>
      <c r="DE54" s="9496"/>
      <c r="DF54" s="9494"/>
      <c r="DG54" s="9495"/>
      <c r="DH54" s="9495"/>
      <c r="DI54" s="9495"/>
      <c r="DJ54" s="9495"/>
      <c r="DK54" s="9495"/>
      <c r="DL54" s="9495"/>
      <c r="DM54" s="9495"/>
      <c r="DN54" s="9495"/>
      <c r="DO54" s="9495"/>
      <c r="DP54" s="9496"/>
      <c r="DQ54" s="9496"/>
      <c r="DR54" s="10064" t="s">
        <v>635</v>
      </c>
      <c r="DS54" s="9769"/>
      <c r="DT54" s="10065"/>
      <c r="DU54" s="10065" t="str">
        <f>IF(T54="","",T54)</f>
        <v>Наименование централизованной системы горячего водоснабжения</v>
      </c>
      <c r="DV54" s="10065"/>
      <c r="DW54" s="10065"/>
    </row>
    <row s="17487" customFormat="1" customHeight="1" ht="23.25">
      <c r="A55" s="10052"/>
      <c r="B55" s="10052"/>
      <c r="C55" s="10052"/>
      <c r="D55" s="10052"/>
      <c r="E55" s="10053"/>
      <c r="F55" s="10053">
        <v>1</v>
      </c>
      <c r="G55" s="10053"/>
      <c r="H55" s="10053"/>
      <c r="I55" s="10070" t="str">
        <f>S54&amp;".1"</f>
        <v>1.2.1.1</v>
      </c>
      <c r="J55" s="10052"/>
      <c r="K55" s="10052"/>
      <c r="L55" s="10055"/>
      <c r="M55" s="10071"/>
      <c r="N55" s="10071"/>
      <c r="O55" s="10071"/>
      <c r="P55" s="10072">
        <v>1</v>
      </c>
      <c r="Q55" s="10072"/>
      <c r="R55" s="10073"/>
      <c r="S55" s="10060" t="str">
        <f>$I55</f>
        <v>1.2.1.1</v>
      </c>
      <c r="T55" s="10074" t="s">
        <v>587</v>
      </c>
      <c r="U55" s="10062"/>
      <c r="V55" s="9500"/>
      <c r="W55" s="9501"/>
      <c r="X55" s="9501"/>
      <c r="Y55" s="9501"/>
      <c r="Z55" s="9501"/>
      <c r="AA55" s="9501"/>
      <c r="AB55" s="9501"/>
      <c r="AC55" s="9501"/>
      <c r="AD55" s="9501"/>
      <c r="AE55" s="9501"/>
      <c r="AF55" s="9502"/>
      <c r="AG55" s="10075"/>
      <c r="AH55" s="10076"/>
      <c r="AI55" s="10076"/>
      <c r="AJ55" s="10076"/>
      <c r="AK55" s="10076"/>
      <c r="AL55" s="10076"/>
      <c r="AM55" s="10076"/>
      <c r="AN55" s="10076"/>
      <c r="AO55" s="10076"/>
      <c r="AP55" s="10076"/>
      <c r="AQ55" s="10076"/>
      <c r="AR55" s="9500"/>
      <c r="AS55" s="9501"/>
      <c r="AT55" s="9501"/>
      <c r="AU55" s="9501"/>
      <c r="AV55" s="9501"/>
      <c r="AW55" s="9501"/>
      <c r="AX55" s="9501"/>
      <c r="AY55" s="9501"/>
      <c r="AZ55" s="9501"/>
      <c r="BA55" s="9501"/>
      <c r="BB55" s="9502"/>
      <c r="BC55" s="9500"/>
      <c r="BD55" s="9501"/>
      <c r="BE55" s="9501"/>
      <c r="BF55" s="9501"/>
      <c r="BG55" s="9501"/>
      <c r="BH55" s="9501"/>
      <c r="BI55" s="9501"/>
      <c r="BJ55" s="9501"/>
      <c r="BK55" s="9501"/>
      <c r="BL55" s="9501"/>
      <c r="BM55" s="9502"/>
      <c r="BN55" s="9500"/>
      <c r="BO55" s="9501"/>
      <c r="BP55" s="9501"/>
      <c r="BQ55" s="9501"/>
      <c r="BR55" s="9501"/>
      <c r="BS55" s="9501"/>
      <c r="BT55" s="9501"/>
      <c r="BU55" s="9501"/>
      <c r="BV55" s="9501"/>
      <c r="BW55" s="9501"/>
      <c r="BX55" s="9502"/>
      <c r="BY55" s="9500"/>
      <c r="BZ55" s="9501"/>
      <c r="CA55" s="9501"/>
      <c r="CB55" s="9501"/>
      <c r="CC55" s="9501"/>
      <c r="CD55" s="9501"/>
      <c r="CE55" s="9501"/>
      <c r="CF55" s="9501"/>
      <c r="CG55" s="9501"/>
      <c r="CH55" s="9501"/>
      <c r="CI55" s="9502"/>
      <c r="CJ55" s="9500"/>
      <c r="CK55" s="9501"/>
      <c r="CL55" s="9501"/>
      <c r="CM55" s="9501"/>
      <c r="CN55" s="9501"/>
      <c r="CO55" s="9501"/>
      <c r="CP55" s="9501"/>
      <c r="CQ55" s="9501"/>
      <c r="CR55" s="9501"/>
      <c r="CS55" s="9501"/>
      <c r="CT55" s="10077"/>
      <c r="CU55" s="9500"/>
      <c r="CV55" s="9501"/>
      <c r="CW55" s="9501"/>
      <c r="CX55" s="9501"/>
      <c r="CY55" s="9501"/>
      <c r="CZ55" s="9501"/>
      <c r="DA55" s="9501"/>
      <c r="DB55" s="9501"/>
      <c r="DC55" s="9501"/>
      <c r="DD55" s="9501"/>
      <c r="DE55" s="9502"/>
      <c r="DF55" s="9500"/>
      <c r="DG55" s="9501"/>
      <c r="DH55" s="9501"/>
      <c r="DI55" s="9501"/>
      <c r="DJ55" s="9501"/>
      <c r="DK55" s="9501"/>
      <c r="DL55" s="9501"/>
      <c r="DM55" s="9501"/>
      <c r="DN55" s="9501"/>
      <c r="DO55" s="9501"/>
      <c r="DP55" s="9502"/>
      <c r="DQ55" s="10078"/>
      <c r="DR55" s="10064" t="s">
        <v>588</v>
      </c>
      <c r="DS55" s="9769"/>
      <c r="DT55" s="10065"/>
      <c r="DU55" s="10065" t="str">
        <f>IF(T55="","",T55)</f>
        <v>Наименование признака дифференциации</v>
      </c>
      <c r="DV55" s="10065"/>
      <c r="DW55" s="10065"/>
    </row>
    <row s="17497" customFormat="1" customHeight="1" ht="23.25">
      <c r="A56" s="10052"/>
      <c r="B56" s="10052"/>
      <c r="C56" s="10052"/>
      <c r="D56" s="10052"/>
      <c r="E56" s="10053"/>
      <c r="F56" s="10053">
        <v>1</v>
      </c>
      <c r="G56" s="10053"/>
      <c r="H56" s="10053"/>
      <c r="I56" s="10080"/>
      <c r="J56" s="10070" t="str">
        <f>I55&amp;".1"</f>
        <v>1.2.1.1.1</v>
      </c>
      <c r="K56" s="10052"/>
      <c r="L56" s="10055" t="s">
        <v>512</v>
      </c>
      <c r="M56" s="10071"/>
      <c r="N56" s="10071"/>
      <c r="O56" s="10071"/>
      <c r="P56" s="10072"/>
      <c r="Q56" s="10072">
        <v>1</v>
      </c>
      <c r="R56" s="10081"/>
      <c r="S56" s="10060" t="str">
        <f>$J56</f>
        <v>1.2.1.1.1</v>
      </c>
      <c r="T56" s="10082" t="s">
        <v>513</v>
      </c>
      <c r="U56" s="10062"/>
      <c r="V56" s="9506"/>
      <c r="W56" s="9507"/>
      <c r="X56" s="9507"/>
      <c r="Y56" s="9507"/>
      <c r="Z56" s="9507"/>
      <c r="AA56" s="9507"/>
      <c r="AB56" s="9507"/>
      <c r="AC56" s="9507"/>
      <c r="AD56" s="9507"/>
      <c r="AE56" s="9507"/>
      <c r="AF56" s="9508"/>
      <c r="AG56" s="9506" t="s">
        <v>647</v>
      </c>
      <c r="AH56" s="9507"/>
      <c r="AI56" s="9507"/>
      <c r="AJ56" s="9507"/>
      <c r="AK56" s="9507"/>
      <c r="AL56" s="9507"/>
      <c r="AM56" s="9507"/>
      <c r="AN56" s="9507"/>
      <c r="AO56" s="9507"/>
      <c r="AP56" s="9507"/>
      <c r="AQ56" s="9507"/>
      <c r="AR56" s="9506"/>
      <c r="AS56" s="9507"/>
      <c r="AT56" s="9507"/>
      <c r="AU56" s="9507"/>
      <c r="AV56" s="9507"/>
      <c r="AW56" s="9507"/>
      <c r="AX56" s="9507"/>
      <c r="AY56" s="9507"/>
      <c r="AZ56" s="9507"/>
      <c r="BA56" s="9507"/>
      <c r="BB56" s="9508"/>
      <c r="BC56" s="9506"/>
      <c r="BD56" s="9507"/>
      <c r="BE56" s="9507"/>
      <c r="BF56" s="9507"/>
      <c r="BG56" s="9507"/>
      <c r="BH56" s="9507"/>
      <c r="BI56" s="9507"/>
      <c r="BJ56" s="9507"/>
      <c r="BK56" s="9507"/>
      <c r="BL56" s="9507"/>
      <c r="BM56" s="9508"/>
      <c r="BN56" s="9506"/>
      <c r="BO56" s="9507"/>
      <c r="BP56" s="9507"/>
      <c r="BQ56" s="9507"/>
      <c r="BR56" s="9507"/>
      <c r="BS56" s="9507"/>
      <c r="BT56" s="9507"/>
      <c r="BU56" s="9507"/>
      <c r="BV56" s="9507"/>
      <c r="BW56" s="9507"/>
      <c r="BX56" s="9508"/>
      <c r="BY56" s="9506"/>
      <c r="BZ56" s="9507"/>
      <c r="CA56" s="9507"/>
      <c r="CB56" s="9507"/>
      <c r="CC56" s="9507"/>
      <c r="CD56" s="9507"/>
      <c r="CE56" s="9507"/>
      <c r="CF56" s="9507"/>
      <c r="CG56" s="9507"/>
      <c r="CH56" s="9507"/>
      <c r="CI56" s="9508"/>
      <c r="CJ56" s="9506"/>
      <c r="CK56" s="9507"/>
      <c r="CL56" s="9507"/>
      <c r="CM56" s="9507"/>
      <c r="CN56" s="9507"/>
      <c r="CO56" s="9507"/>
      <c r="CP56" s="9507"/>
      <c r="CQ56" s="9507"/>
      <c r="CR56" s="9507"/>
      <c r="CS56" s="9507"/>
      <c r="CT56" s="10083"/>
      <c r="CU56" s="9506"/>
      <c r="CV56" s="9507"/>
      <c r="CW56" s="9507"/>
      <c r="CX56" s="9507"/>
      <c r="CY56" s="9507"/>
      <c r="CZ56" s="9507"/>
      <c r="DA56" s="9507"/>
      <c r="DB56" s="9507"/>
      <c r="DC56" s="9507"/>
      <c r="DD56" s="9507"/>
      <c r="DE56" s="9508"/>
      <c r="DF56" s="9506"/>
      <c r="DG56" s="9507"/>
      <c r="DH56" s="9507"/>
      <c r="DI56" s="9507"/>
      <c r="DJ56" s="9507"/>
      <c r="DK56" s="9507"/>
      <c r="DL56" s="9507"/>
      <c r="DM56" s="9507"/>
      <c r="DN56" s="9507"/>
      <c r="DO56" s="9507"/>
      <c r="DP56" s="9508"/>
      <c r="DQ56" s="9508"/>
      <c r="DR56" s="10084" t="s">
        <v>589</v>
      </c>
      <c r="DS56" s="9769"/>
      <c r="DT56" s="10065"/>
      <c r="DU56" s="10065" t="str">
        <f>IF(T56="","",T56)</f>
        <v>Группа потребителей</v>
      </c>
      <c r="DV56" s="10065"/>
      <c r="DW56" s="10065"/>
    </row>
    <row s="17503" customFormat="1" customHeight="1" ht="23.25">
      <c r="A57" s="10052"/>
      <c r="B57" s="10052"/>
      <c r="C57" s="10052"/>
      <c r="D57" s="10052"/>
      <c r="E57" s="10053"/>
      <c r="F57" s="10053">
        <v>1</v>
      </c>
      <c r="G57" s="10053"/>
      <c r="H57" s="10053"/>
      <c r="I57" s="10080"/>
      <c r="J57" s="10080"/>
      <c r="K57" s="10070" t="str">
        <f>J56&amp;".1"</f>
        <v>1.2.1.1.1.1</v>
      </c>
      <c r="L57" s="10055"/>
      <c r="M57" s="10071"/>
      <c r="N57" s="10071"/>
      <c r="O57" s="10071"/>
      <c r="P57" s="10072"/>
      <c r="Q57" s="10072"/>
      <c r="R57" s="10081">
        <v>1</v>
      </c>
      <c r="S57" s="10060" t="str">
        <f>$K57</f>
        <v>1.2.1.1.1.1</v>
      </c>
      <c r="T57" s="10086"/>
      <c r="U57" s="10062"/>
      <c r="V57" s="9512"/>
      <c r="W57" s="9512"/>
      <c r="X57" s="9512"/>
      <c r="Y57" s="9512"/>
      <c r="Z57" s="9512"/>
      <c r="AA57" s="9512"/>
      <c r="AB57" s="9512"/>
      <c r="AC57" s="9513"/>
      <c r="AD57" s="9514" t="s">
        <v>63</v>
      </c>
      <c r="AE57" s="9513"/>
      <c r="AF57" s="9514" t="s">
        <v>63</v>
      </c>
      <c r="AG57" s="9512">
        <v>287.98</v>
      </c>
      <c r="AH57" s="9512"/>
      <c r="AI57" s="9512"/>
      <c r="AJ57" s="9512"/>
      <c r="AK57" s="9512"/>
      <c r="AL57" s="9512"/>
      <c r="AM57" s="9512"/>
      <c r="AN57" s="9513">
        <v>45658.524039351854</v>
      </c>
      <c r="AO57" s="9514" t="s">
        <v>63</v>
      </c>
      <c r="AP57" s="9817">
        <v>45838.52421296296</v>
      </c>
      <c r="AQ57" s="9514" t="s">
        <v>63</v>
      </c>
      <c r="AR57" s="9512">
        <v>589.03</v>
      </c>
      <c r="AS57" s="9512"/>
      <c r="AT57" s="9512"/>
      <c r="AU57" s="9512"/>
      <c r="AV57" s="9512"/>
      <c r="AW57" s="9512"/>
      <c r="AX57" s="9512"/>
      <c r="AY57" s="9513">
        <v>45839.524409722224</v>
      </c>
      <c r="AZ57" s="9514" t="s">
        <v>63</v>
      </c>
      <c r="BA57" s="9513">
        <v>46022.52457175926</v>
      </c>
      <c r="BB57" s="9514" t="s">
        <v>63</v>
      </c>
      <c r="BC57" s="9512">
        <v>589.03</v>
      </c>
      <c r="BD57" s="9512"/>
      <c r="BE57" s="9512"/>
      <c r="BF57" s="9512"/>
      <c r="BG57" s="9512"/>
      <c r="BH57" s="9512"/>
      <c r="BI57" s="9512"/>
      <c r="BJ57" s="9513">
        <v>46023.52476851852</v>
      </c>
      <c r="BK57" s="9514" t="s">
        <v>63</v>
      </c>
      <c r="BL57" s="9513">
        <v>46203.52489583333</v>
      </c>
      <c r="BM57" s="9514" t="s">
        <v>63</v>
      </c>
      <c r="BN57" s="9512">
        <v>612.6</v>
      </c>
      <c r="BO57" s="9512"/>
      <c r="BP57" s="9512"/>
      <c r="BQ57" s="9512"/>
      <c r="BR57" s="9512"/>
      <c r="BS57" s="9512"/>
      <c r="BT57" s="9512"/>
      <c r="BU57" s="9513">
        <v>46204.52505787037</v>
      </c>
      <c r="BV57" s="9514" t="s">
        <v>63</v>
      </c>
      <c r="BW57" s="9513">
        <v>46387.52525462963</v>
      </c>
      <c r="BX57" s="9514" t="s">
        <v>63</v>
      </c>
      <c r="BY57" s="9512">
        <v>612.6</v>
      </c>
      <c r="BZ57" s="9512"/>
      <c r="CA57" s="9512"/>
      <c r="CB57" s="9512"/>
      <c r="CC57" s="9512"/>
      <c r="CD57" s="9512"/>
      <c r="CE57" s="9512"/>
      <c r="CF57" s="9513">
        <v>46388.52553240741</v>
      </c>
      <c r="CG57" s="9514" t="s">
        <v>63</v>
      </c>
      <c r="CH57" s="9513">
        <v>46568.52581018519</v>
      </c>
      <c r="CI57" s="9514" t="s">
        <v>63</v>
      </c>
      <c r="CJ57" s="9512">
        <v>637.1</v>
      </c>
      <c r="CK57" s="9512"/>
      <c r="CL57" s="9512"/>
      <c r="CM57" s="9512"/>
      <c r="CN57" s="9512"/>
      <c r="CO57" s="9512"/>
      <c r="CP57" s="9512"/>
      <c r="CQ57" s="9513">
        <v>46569.526087962964</v>
      </c>
      <c r="CR57" s="9514" t="s">
        <v>63</v>
      </c>
      <c r="CS57" s="9513">
        <v>46752.526284722226</v>
      </c>
      <c r="CT57" s="10087" t="s">
        <v>63</v>
      </c>
      <c r="CU57" s="9512">
        <v>637.1</v>
      </c>
      <c r="CV57" s="9512"/>
      <c r="CW57" s="9512"/>
      <c r="CX57" s="9512"/>
      <c r="CY57" s="9512"/>
      <c r="CZ57" s="9512"/>
      <c r="DA57" s="9512"/>
      <c r="DB57" s="9513">
        <v>46753.52658564815</v>
      </c>
      <c r="DC57" s="9514" t="s">
        <v>63</v>
      </c>
      <c r="DD57" s="9513">
        <v>46934.526724537034</v>
      </c>
      <c r="DE57" s="9514" t="s">
        <v>63</v>
      </c>
      <c r="DF57" s="9512">
        <v>662.59</v>
      </c>
      <c r="DG57" s="9512"/>
      <c r="DH57" s="9512"/>
      <c r="DI57" s="9512"/>
      <c r="DJ57" s="9512"/>
      <c r="DK57" s="9512"/>
      <c r="DL57" s="9512"/>
      <c r="DM57" s="9513">
        <v>46935.52700231481</v>
      </c>
      <c r="DN57" s="9514" t="s">
        <v>63</v>
      </c>
      <c r="DO57" s="9513">
        <v>47118.5271875</v>
      </c>
      <c r="DP57" s="9514" t="s">
        <v>63</v>
      </c>
      <c r="DQ57" s="10088"/>
      <c r="DR57" s="100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S57" s="9769">
        <f>STRCHECKDATE(V58:DQ58)</f>
      </c>
      <c r="DT57" s="10065"/>
      <c r="DU57" s="10065" t="str">
        <f>IF(T57="","",T57)</f>
        <v/>
      </c>
      <c r="DV57" s="10065"/>
      <c r="DW57" s="10065"/>
    </row>
    <row s="17508" customFormat="1" customHeight="1" ht="14.25">
      <c r="A58" s="10052"/>
      <c r="B58" s="10052"/>
      <c r="C58" s="10052"/>
      <c r="D58" s="10052"/>
      <c r="E58" s="10053"/>
      <c r="F58" s="10053">
        <v>1</v>
      </c>
      <c r="G58" s="10053"/>
      <c r="H58" s="10053"/>
      <c r="I58" s="10080"/>
      <c r="J58" s="10080"/>
      <c r="K58" s="10070"/>
      <c r="L58" s="10055"/>
      <c r="M58" s="10071"/>
      <c r="N58" s="10071"/>
      <c r="O58" s="10071"/>
      <c r="P58" s="10072"/>
      <c r="Q58" s="10072"/>
      <c r="R58" s="10081"/>
      <c r="S58" s="10091"/>
      <c r="T58" s="10062"/>
      <c r="U58" s="10062"/>
      <c r="V58" s="9517"/>
      <c r="W58" s="9517"/>
      <c r="X58" s="9517"/>
      <c r="Y58" s="9517"/>
      <c r="Z58" s="9517"/>
      <c r="AA58" s="9517"/>
      <c r="AB58" s="9517"/>
      <c r="AC58" s="9518"/>
      <c r="AD58" s="9514"/>
      <c r="AE58" s="9518"/>
      <c r="AF58" s="9514"/>
      <c r="AG58" s="9517"/>
      <c r="AH58" s="9517"/>
      <c r="AI58" s="9517"/>
      <c r="AJ58" s="9517"/>
      <c r="AK58" s="9517"/>
      <c r="AL58" s="9517"/>
      <c r="AM58" s="9517"/>
      <c r="AN58" s="9518"/>
      <c r="AO58" s="9514"/>
      <c r="AP58" s="9819"/>
      <c r="AQ58" s="9514"/>
      <c r="AR58" s="9517"/>
      <c r="AS58" s="9517"/>
      <c r="AT58" s="9517"/>
      <c r="AU58" s="9517"/>
      <c r="AV58" s="9517"/>
      <c r="AW58" s="9517"/>
      <c r="AX58" s="9517"/>
      <c r="AY58" s="9518"/>
      <c r="AZ58" s="9514"/>
      <c r="BA58" s="9518"/>
      <c r="BB58" s="9514"/>
      <c r="BC58" s="9517"/>
      <c r="BD58" s="9517"/>
      <c r="BE58" s="9517"/>
      <c r="BF58" s="9517"/>
      <c r="BG58" s="9517"/>
      <c r="BH58" s="9517"/>
      <c r="BI58" s="9517"/>
      <c r="BJ58" s="9518"/>
      <c r="BK58" s="9514"/>
      <c r="BL58" s="9518"/>
      <c r="BM58" s="9514"/>
      <c r="BN58" s="9517"/>
      <c r="BO58" s="9517"/>
      <c r="BP58" s="9517"/>
      <c r="BQ58" s="9517"/>
      <c r="BR58" s="9517"/>
      <c r="BS58" s="9517"/>
      <c r="BT58" s="9517"/>
      <c r="BU58" s="9518"/>
      <c r="BV58" s="9514"/>
      <c r="BW58" s="9518"/>
      <c r="BX58" s="9514"/>
      <c r="BY58" s="9517"/>
      <c r="BZ58" s="9517"/>
      <c r="CA58" s="9517"/>
      <c r="CB58" s="9517"/>
      <c r="CC58" s="9517"/>
      <c r="CD58" s="9517"/>
      <c r="CE58" s="9517"/>
      <c r="CF58" s="9518"/>
      <c r="CG58" s="9514"/>
      <c r="CH58" s="9518"/>
      <c r="CI58" s="9514"/>
      <c r="CJ58" s="9517"/>
      <c r="CK58" s="9517"/>
      <c r="CL58" s="9517"/>
      <c r="CM58" s="9517"/>
      <c r="CN58" s="9517"/>
      <c r="CO58" s="9517"/>
      <c r="CP58" s="9517"/>
      <c r="CQ58" s="9518"/>
      <c r="CR58" s="9514"/>
      <c r="CS58" s="9518"/>
      <c r="CT58" s="10087"/>
      <c r="CU58" s="9517"/>
      <c r="CV58" s="9517"/>
      <c r="CW58" s="9517"/>
      <c r="CX58" s="9517"/>
      <c r="CY58" s="9517"/>
      <c r="CZ58" s="9517"/>
      <c r="DA58" s="9517"/>
      <c r="DB58" s="9518"/>
      <c r="DC58" s="9514"/>
      <c r="DD58" s="9518"/>
      <c r="DE58" s="9514"/>
      <c r="DF58" s="9517"/>
      <c r="DG58" s="9517"/>
      <c r="DH58" s="9517"/>
      <c r="DI58" s="9517"/>
      <c r="DJ58" s="9517"/>
      <c r="DK58" s="9517"/>
      <c r="DL58" s="9517"/>
      <c r="DM58" s="9518"/>
      <c r="DN58" s="9514"/>
      <c r="DO58" s="9518"/>
      <c r="DP58" s="9514"/>
      <c r="DQ58" s="10092"/>
      <c r="DR58" s="10089"/>
      <c r="DS58" s="9769"/>
      <c r="DT58" s="10065"/>
      <c r="DU58" s="10065" t="str">
        <f>IF(T58="","",T58)</f>
        <v/>
      </c>
      <c r="DV58" s="10065"/>
      <c r="DW58" s="10065"/>
    </row>
    <row s="17511" customFormat="1" customHeight="1" ht="21">
      <c r="A59" s="10052"/>
      <c r="B59" s="10052"/>
      <c r="C59" s="10052"/>
      <c r="D59" s="10052"/>
      <c r="E59" s="10053"/>
      <c r="F59" s="10053">
        <v>1</v>
      </c>
      <c r="G59" s="10053"/>
      <c r="H59" s="10053"/>
      <c r="I59" s="10080"/>
      <c r="J59" s="10070"/>
      <c r="K59" s="10052"/>
      <c r="L59" s="10055"/>
      <c r="M59" s="10071"/>
      <c r="N59" s="10071"/>
      <c r="O59" s="10071"/>
      <c r="P59" s="10072"/>
      <c r="Q59" s="10072"/>
      <c r="R59" s="10073"/>
      <c r="S59" s="10094"/>
      <c r="T59" s="10095" t="s">
        <v>590</v>
      </c>
      <c r="U59" s="10096"/>
      <c r="V59" s="10097"/>
      <c r="W59" s="10098"/>
      <c r="X59" s="10099"/>
      <c r="Y59" s="10100"/>
      <c r="Z59" s="10101"/>
      <c r="AA59" s="10102"/>
      <c r="AB59" s="10103"/>
      <c r="AC59" s="10104"/>
      <c r="AD59" s="10105"/>
      <c r="AE59" s="10106"/>
      <c r="AF59" s="10107"/>
      <c r="AG59" s="10108"/>
      <c r="AH59" s="10109"/>
      <c r="AI59" s="10110"/>
      <c r="AJ59" s="10111"/>
      <c r="AK59" s="10112"/>
      <c r="AL59" s="10113"/>
      <c r="AM59" s="10114"/>
      <c r="AN59" s="10115"/>
      <c r="AO59" s="10116"/>
      <c r="AP59" s="10117"/>
      <c r="AQ59" s="10118"/>
      <c r="AR59" s="10119"/>
      <c r="AS59" s="10120"/>
      <c r="AT59" s="10121"/>
      <c r="AU59" s="10122"/>
      <c r="AV59" s="10123"/>
      <c r="AW59" s="10124"/>
      <c r="AX59" s="10125"/>
      <c r="AY59" s="10126"/>
      <c r="AZ59" s="10127"/>
      <c r="BA59" s="10128"/>
      <c r="BB59" s="10129"/>
      <c r="BC59" s="10130"/>
      <c r="BD59" s="10131"/>
      <c r="BE59" s="10132"/>
      <c r="BF59" s="10133"/>
      <c r="BG59" s="10134"/>
      <c r="BH59" s="10135"/>
      <c r="BI59" s="10136"/>
      <c r="BJ59" s="10137"/>
      <c r="BK59" s="10138"/>
      <c r="BL59" s="10139"/>
      <c r="BM59" s="10140"/>
      <c r="BN59" s="10141"/>
      <c r="BO59" s="10142"/>
      <c r="BP59" s="10143"/>
      <c r="BQ59" s="10144"/>
      <c r="BR59" s="10145"/>
      <c r="BS59" s="10146"/>
      <c r="BT59" s="10147"/>
      <c r="BU59" s="10148"/>
      <c r="BV59" s="10149"/>
      <c r="BW59" s="10150"/>
      <c r="BX59" s="10151"/>
      <c r="BY59" s="10152"/>
      <c r="BZ59" s="10153"/>
      <c r="CA59" s="10154"/>
      <c r="CB59" s="10155"/>
      <c r="CC59" s="10156"/>
      <c r="CD59" s="10157"/>
      <c r="CE59" s="10158"/>
      <c r="CF59" s="10159"/>
      <c r="CG59" s="10160"/>
      <c r="CH59" s="10161"/>
      <c r="CI59" s="10162"/>
      <c r="CJ59" s="10163"/>
      <c r="CK59" s="10164"/>
      <c r="CL59" s="10165"/>
      <c r="CM59" s="10166"/>
      <c r="CN59" s="10167"/>
      <c r="CO59" s="10168"/>
      <c r="CP59" s="10169"/>
      <c r="CQ59" s="10170"/>
      <c r="CR59" s="10171"/>
      <c r="CS59" s="10172"/>
      <c r="CT59" s="10173"/>
      <c r="CU59" s="10174"/>
      <c r="CV59" s="10175"/>
      <c r="CW59" s="10176"/>
      <c r="CX59" s="10177"/>
      <c r="CY59" s="10178"/>
      <c r="CZ59" s="10179"/>
      <c r="DA59" s="10180"/>
      <c r="DB59" s="10181"/>
      <c r="DC59" s="10182"/>
      <c r="DD59" s="10183"/>
      <c r="DE59" s="10184"/>
      <c r="DF59" s="10185"/>
      <c r="DG59" s="10186"/>
      <c r="DH59" s="10187"/>
      <c r="DI59" s="10188"/>
      <c r="DJ59" s="10189"/>
      <c r="DK59" s="10190"/>
      <c r="DL59" s="10191"/>
      <c r="DM59" s="10192"/>
      <c r="DN59" s="10193"/>
      <c r="DO59" s="10194"/>
      <c r="DP59" s="10195"/>
      <c r="DQ59" s="10196"/>
      <c r="DR59" s="10064" t="s">
        <v>591</v>
      </c>
      <c r="DS59" s="9769"/>
      <c r="DT59" s="10065"/>
      <c r="DU59" s="10065" t="str">
        <f>IF(T59="","",T59)</f>
        <v>Добавить значение признака дифференциации</v>
      </c>
      <c r="DV59" s="10065"/>
      <c r="DW59" s="10065"/>
    </row>
    <row s="17615" customFormat="1" customHeight="1" ht="21">
      <c r="A60" s="10052"/>
      <c r="B60" s="10052"/>
      <c r="C60" s="10052"/>
      <c r="D60" s="10052"/>
      <c r="E60" s="10053"/>
      <c r="F60" s="10053">
        <v>1</v>
      </c>
      <c r="G60" s="10053"/>
      <c r="H60" s="10053"/>
      <c r="I60" s="10070"/>
      <c r="J60" s="10052"/>
      <c r="K60" s="10052"/>
      <c r="L60" s="10055"/>
      <c r="M60" s="10071"/>
      <c r="N60" s="10071"/>
      <c r="O60" s="10071"/>
      <c r="P60" s="10072"/>
      <c r="Q60" s="10072"/>
      <c r="R60" s="10073"/>
      <c r="S60" s="10198"/>
      <c r="T60" s="10199" t="s">
        <v>518</v>
      </c>
      <c r="U60" s="10200"/>
      <c r="V60" s="10201"/>
      <c r="W60" s="10202"/>
      <c r="X60" s="10203"/>
      <c r="Y60" s="10204"/>
      <c r="Z60" s="10205"/>
      <c r="AA60" s="10206"/>
      <c r="AB60" s="10207"/>
      <c r="AC60" s="10208"/>
      <c r="AD60" s="10209"/>
      <c r="AE60" s="10210"/>
      <c r="AF60" s="10211"/>
      <c r="AG60" s="10212"/>
      <c r="AH60" s="10213"/>
      <c r="AI60" s="10214"/>
      <c r="AJ60" s="10215"/>
      <c r="AK60" s="10216"/>
      <c r="AL60" s="10217"/>
      <c r="AM60" s="10218"/>
      <c r="AN60" s="10219"/>
      <c r="AO60" s="10220"/>
      <c r="AP60" s="10221"/>
      <c r="AQ60" s="10222"/>
      <c r="AR60" s="10223"/>
      <c r="AS60" s="10224"/>
      <c r="AT60" s="10225"/>
      <c r="AU60" s="10226"/>
      <c r="AV60" s="10227"/>
      <c r="AW60" s="10228"/>
      <c r="AX60" s="10229"/>
      <c r="AY60" s="10230"/>
      <c r="AZ60" s="10231"/>
      <c r="BA60" s="10232"/>
      <c r="BB60" s="10233"/>
      <c r="BC60" s="10234"/>
      <c r="BD60" s="10235"/>
      <c r="BE60" s="10236"/>
      <c r="BF60" s="10237"/>
      <c r="BG60" s="10238"/>
      <c r="BH60" s="10239"/>
      <c r="BI60" s="10240"/>
      <c r="BJ60" s="10241"/>
      <c r="BK60" s="10242"/>
      <c r="BL60" s="10243"/>
      <c r="BM60" s="10244"/>
      <c r="BN60" s="10245"/>
      <c r="BO60" s="10246"/>
      <c r="BP60" s="10247"/>
      <c r="BQ60" s="10248"/>
      <c r="BR60" s="10249"/>
      <c r="BS60" s="10250"/>
      <c r="BT60" s="10251"/>
      <c r="BU60" s="10252"/>
      <c r="BV60" s="10253"/>
      <c r="BW60" s="10254"/>
      <c r="BX60" s="10255"/>
      <c r="BY60" s="10256"/>
      <c r="BZ60" s="10257"/>
      <c r="CA60" s="10258"/>
      <c r="CB60" s="10259"/>
      <c r="CC60" s="10260"/>
      <c r="CD60" s="10261"/>
      <c r="CE60" s="10262"/>
      <c r="CF60" s="10263"/>
      <c r="CG60" s="10264"/>
      <c r="CH60" s="10265"/>
      <c r="CI60" s="10266"/>
      <c r="CJ60" s="10267"/>
      <c r="CK60" s="10268"/>
      <c r="CL60" s="10269"/>
      <c r="CM60" s="10270"/>
      <c r="CN60" s="10271"/>
      <c r="CO60" s="10272"/>
      <c r="CP60" s="10273"/>
      <c r="CQ60" s="10274"/>
      <c r="CR60" s="10275"/>
      <c r="CS60" s="10276"/>
      <c r="CT60" s="10277"/>
      <c r="CU60" s="10278"/>
      <c r="CV60" s="10279"/>
      <c r="CW60" s="10280"/>
      <c r="CX60" s="10281"/>
      <c r="CY60" s="10282"/>
      <c r="CZ60" s="10283"/>
      <c r="DA60" s="10284"/>
      <c r="DB60" s="10285"/>
      <c r="DC60" s="10286"/>
      <c r="DD60" s="10287"/>
      <c r="DE60" s="10288"/>
      <c r="DF60" s="10289"/>
      <c r="DG60" s="10290"/>
      <c r="DH60" s="10291"/>
      <c r="DI60" s="10292"/>
      <c r="DJ60" s="10293"/>
      <c r="DK60" s="10294"/>
      <c r="DL60" s="10295"/>
      <c r="DM60" s="10296"/>
      <c r="DN60" s="10297"/>
      <c r="DO60" s="10298"/>
      <c r="DP60" s="10299"/>
      <c r="DQ60" s="10300"/>
      <c r="DR60" s="10301"/>
      <c r="DS60" s="9769"/>
      <c r="DT60" s="10065"/>
      <c r="DU60" s="10065" t="str">
        <f>IF(T60="","",T60)</f>
        <v>Добавить группу потребителей</v>
      </c>
      <c r="DV60" s="10065"/>
      <c r="DW60" s="10065"/>
    </row>
    <row s="17720" customFormat="1" customHeight="1" ht="21">
      <c r="A61" s="10052"/>
      <c r="B61" s="10052"/>
      <c r="C61" s="10052"/>
      <c r="D61" s="10052"/>
      <c r="E61" s="10053"/>
      <c r="F61" s="10053">
        <v>1</v>
      </c>
      <c r="G61" s="10053"/>
      <c r="H61" s="10054"/>
      <c r="I61" s="10052"/>
      <c r="J61" s="10052"/>
      <c r="K61" s="10052"/>
      <c r="L61" s="10055"/>
      <c r="M61" s="10056"/>
      <c r="N61" s="10056"/>
      <c r="O61" s="9754"/>
      <c r="P61" s="10303"/>
      <c r="Q61" s="10304"/>
      <c r="R61" s="10305"/>
      <c r="S61" s="10306"/>
      <c r="T61" s="10307" t="s">
        <v>592</v>
      </c>
      <c r="U61" s="10308"/>
      <c r="V61" s="10309"/>
      <c r="W61" s="10310"/>
      <c r="X61" s="10311"/>
      <c r="Y61" s="10312"/>
      <c r="Z61" s="10313"/>
      <c r="AA61" s="10314"/>
      <c r="AB61" s="10315"/>
      <c r="AC61" s="10316"/>
      <c r="AD61" s="10317"/>
      <c r="AE61" s="10318"/>
      <c r="AF61" s="10319"/>
      <c r="AG61" s="10320"/>
      <c r="AH61" s="10321"/>
      <c r="AI61" s="10322"/>
      <c r="AJ61" s="10323"/>
      <c r="AK61" s="10324"/>
      <c r="AL61" s="10325"/>
      <c r="AM61" s="10326"/>
      <c r="AN61" s="10327"/>
      <c r="AO61" s="10328"/>
      <c r="AP61" s="10329"/>
      <c r="AQ61" s="10330"/>
      <c r="AR61" s="10331"/>
      <c r="AS61" s="10332"/>
      <c r="AT61" s="10333"/>
      <c r="AU61" s="10334"/>
      <c r="AV61" s="10335"/>
      <c r="AW61" s="10336"/>
      <c r="AX61" s="10337"/>
      <c r="AY61" s="10338"/>
      <c r="AZ61" s="10339"/>
      <c r="BA61" s="10340"/>
      <c r="BB61" s="10341"/>
      <c r="BC61" s="10342"/>
      <c r="BD61" s="10343"/>
      <c r="BE61" s="10344"/>
      <c r="BF61" s="10345"/>
      <c r="BG61" s="10346"/>
      <c r="BH61" s="10347"/>
      <c r="BI61" s="10348"/>
      <c r="BJ61" s="10349"/>
      <c r="BK61" s="10350"/>
      <c r="BL61" s="10351"/>
      <c r="BM61" s="10352"/>
      <c r="BN61" s="10353"/>
      <c r="BO61" s="10354"/>
      <c r="BP61" s="10355"/>
      <c r="BQ61" s="10356"/>
      <c r="BR61" s="10357"/>
      <c r="BS61" s="10358"/>
      <c r="BT61" s="10359"/>
      <c r="BU61" s="10360"/>
      <c r="BV61" s="10361"/>
      <c r="BW61" s="10362"/>
      <c r="BX61" s="10363"/>
      <c r="BY61" s="10364"/>
      <c r="BZ61" s="10365"/>
      <c r="CA61" s="10366"/>
      <c r="CB61" s="10367"/>
      <c r="CC61" s="10368"/>
      <c r="CD61" s="10369"/>
      <c r="CE61" s="10370"/>
      <c r="CF61" s="10371"/>
      <c r="CG61" s="10372"/>
      <c r="CH61" s="10373"/>
      <c r="CI61" s="10374"/>
      <c r="CJ61" s="10375"/>
      <c r="CK61" s="10376"/>
      <c r="CL61" s="10377"/>
      <c r="CM61" s="10378"/>
      <c r="CN61" s="10379"/>
      <c r="CO61" s="10380"/>
      <c r="CP61" s="10381"/>
      <c r="CQ61" s="10382"/>
      <c r="CR61" s="10383"/>
      <c r="CS61" s="10384"/>
      <c r="CT61" s="10385"/>
      <c r="CU61" s="10386"/>
      <c r="CV61" s="10387"/>
      <c r="CW61" s="10388"/>
      <c r="CX61" s="10389"/>
      <c r="CY61" s="10390"/>
      <c r="CZ61" s="10391"/>
      <c r="DA61" s="10392"/>
      <c r="DB61" s="10393"/>
      <c r="DC61" s="10394"/>
      <c r="DD61" s="10395"/>
      <c r="DE61" s="10396"/>
      <c r="DF61" s="10397"/>
      <c r="DG61" s="10398"/>
      <c r="DH61" s="10399"/>
      <c r="DI61" s="10400"/>
      <c r="DJ61" s="10401"/>
      <c r="DK61" s="10402"/>
      <c r="DL61" s="10403"/>
      <c r="DM61" s="10404"/>
      <c r="DN61" s="10405"/>
      <c r="DO61" s="10406"/>
      <c r="DP61" s="10407"/>
      <c r="DQ61" s="10408"/>
      <c r="DR61" s="10409"/>
      <c r="DS61" s="9769"/>
      <c r="DT61" s="10065"/>
      <c r="DU61" s="10065" t="str">
        <f>IF(T61="","",T61)</f>
        <v>Добавить наименование признака дифференциации</v>
      </c>
      <c r="DV61" s="10065"/>
      <c r="DW61" s="10065"/>
    </row>
    <row s="17828" customFormat="1" customHeight="1" ht="14.25">
      <c r="A62" s="10411"/>
      <c r="B62" s="10411"/>
      <c r="C62" s="10411"/>
      <c r="D62" s="10411"/>
      <c r="E62" s="10053"/>
      <c r="F62" s="10054">
        <v>1</v>
      </c>
      <c r="G62" s="10411"/>
      <c r="H62" s="10411"/>
      <c r="I62" s="10411"/>
      <c r="J62" s="10411"/>
      <c r="K62" s="10411"/>
      <c r="L62" s="10412"/>
      <c r="M62" s="10413"/>
      <c r="N62" s="10413"/>
      <c r="O62" s="9769"/>
      <c r="P62" s="10414"/>
      <c r="Q62" s="10415"/>
      <c r="R62" s="10414"/>
      <c r="S62" s="10416"/>
      <c r="T62" s="10417" t="s">
        <v>305</v>
      </c>
      <c r="U62" s="9751"/>
      <c r="V62" s="9751"/>
      <c r="W62" s="9751"/>
      <c r="X62" s="9751"/>
      <c r="Y62" s="9751"/>
      <c r="Z62" s="9751"/>
      <c r="AA62" s="9751"/>
      <c r="AB62" s="9751"/>
      <c r="AC62" s="9751"/>
      <c r="AD62" s="9751"/>
      <c r="AE62" s="9751"/>
      <c r="AF62" s="9751"/>
      <c r="AG62" s="9751"/>
      <c r="AH62" s="9751"/>
      <c r="AI62" s="9751"/>
      <c r="AJ62" s="9751"/>
      <c r="AK62" s="9751"/>
      <c r="AL62" s="9751"/>
      <c r="AM62" s="9751"/>
      <c r="AN62" s="9751"/>
      <c r="AO62" s="9751"/>
      <c r="AP62" s="9751"/>
      <c r="AQ62" s="9751"/>
      <c r="AR62" s="9751"/>
      <c r="AS62" s="9751"/>
      <c r="AT62" s="9751"/>
      <c r="AU62" s="9751"/>
      <c r="AV62" s="9751"/>
      <c r="AW62" s="9751"/>
      <c r="AX62" s="9751"/>
      <c r="AY62" s="9751"/>
      <c r="AZ62" s="9751"/>
      <c r="BA62" s="9751"/>
      <c r="BB62" s="9751"/>
      <c r="BC62" s="9751"/>
      <c r="BD62" s="9751"/>
      <c r="BE62" s="9751"/>
      <c r="BF62" s="9751"/>
      <c r="BG62" s="9751"/>
      <c r="BH62" s="9751"/>
      <c r="BI62" s="9751"/>
      <c r="BJ62" s="9751"/>
      <c r="BK62" s="9751"/>
      <c r="BL62" s="9751"/>
      <c r="BM62" s="9751"/>
      <c r="BN62" s="9751"/>
      <c r="BO62" s="9751"/>
      <c r="BP62" s="9751"/>
      <c r="BQ62" s="9751"/>
      <c r="BR62" s="9751"/>
      <c r="BS62" s="9751"/>
      <c r="BT62" s="9751"/>
      <c r="BU62" s="9751"/>
      <c r="BV62" s="9751"/>
      <c r="BW62" s="9751"/>
      <c r="BX62" s="9751"/>
      <c r="BY62" s="9751"/>
      <c r="BZ62" s="9751"/>
      <c r="CA62" s="9751"/>
      <c r="CB62" s="9751"/>
      <c r="CC62" s="9751"/>
      <c r="CD62" s="9751"/>
      <c r="CE62" s="9751"/>
      <c r="CF62" s="9751"/>
      <c r="CG62" s="9751"/>
      <c r="CH62" s="9751"/>
      <c r="CI62" s="9751"/>
      <c r="CJ62" s="9751"/>
      <c r="CK62" s="9751"/>
      <c r="CL62" s="9751"/>
      <c r="CM62" s="9751"/>
      <c r="CN62" s="9751"/>
      <c r="CO62" s="9751"/>
      <c r="CP62" s="9751"/>
      <c r="CQ62" s="9751"/>
      <c r="CR62" s="9751"/>
      <c r="CS62" s="9751"/>
      <c r="CT62" s="10418"/>
      <c r="CU62" s="9751"/>
      <c r="CV62" s="9751"/>
      <c r="CW62" s="9751"/>
      <c r="CX62" s="9751"/>
      <c r="CY62" s="9751"/>
      <c r="CZ62" s="9751"/>
      <c r="DA62" s="9751"/>
      <c r="DB62" s="9751"/>
      <c r="DC62" s="9751"/>
      <c r="DD62" s="9751"/>
      <c r="DE62" s="9751"/>
      <c r="DF62" s="9751"/>
      <c r="DG62" s="9751"/>
      <c r="DH62" s="9751"/>
      <c r="DI62" s="9751"/>
      <c r="DJ62" s="9751"/>
      <c r="DK62" s="9751"/>
      <c r="DL62" s="9751"/>
      <c r="DM62" s="9751"/>
      <c r="DN62" s="9751"/>
      <c r="DO62" s="9751"/>
      <c r="DP62" s="9751"/>
      <c r="DQ62" s="9751"/>
      <c r="DR62" s="9751"/>
      <c r="DS62" s="9769"/>
      <c r="DT62" s="10065"/>
      <c r="DU62" s="10065" t="str">
        <f>IF(T62="","",T62)</f>
        <v>Добавить централизованную систему для дифференциации</v>
      </c>
      <c r="DV62" s="10065"/>
      <c r="DW62" s="10065"/>
    </row>
    <row s="17837" customFormat="1" customHeight="1" ht="23.25">
      <c r="A63" s="10052"/>
      <c r="B63" s="10052" t="s">
        <v>311</v>
      </c>
      <c r="C63" s="10052"/>
      <c r="D63" s="10052"/>
      <c r="E63" s="10053"/>
      <c r="F63" s="10054" t="s">
        <v>86</v>
      </c>
      <c r="G63" s="10052"/>
      <c r="H63" s="10052"/>
      <c r="I63" s="10052"/>
      <c r="J63" s="10052"/>
      <c r="K63" s="10052"/>
      <c r="L63" s="10055"/>
      <c r="M63" s="10056"/>
      <c r="N63" s="10056"/>
      <c r="O63" s="10056"/>
      <c r="P63" s="10057"/>
      <c r="Q63" s="10058"/>
      <c r="R63" s="10059"/>
      <c r="S63" s="10060" t="str">
        <f>INDEX(PT_DIFFERENTIATION_NUM_TER,MATCH(B63,PT_DIFFERENTIATION_TER_ID,0))</f>
        <v>1.3</v>
      </c>
      <c r="T63" s="10061" t="s">
        <v>503</v>
      </c>
      <c r="U63" s="10062"/>
      <c r="V63" s="9494"/>
      <c r="W63" s="9495"/>
      <c r="X63" s="9495"/>
      <c r="Y63" s="9495"/>
      <c r="Z63" s="9495"/>
      <c r="AA63" s="9495"/>
      <c r="AB63" s="9495"/>
      <c r="AC63" s="9495"/>
      <c r="AD63" s="9495"/>
      <c r="AE63" s="9495"/>
      <c r="AF63" s="9496"/>
      <c r="AG63" s="9494" t="str">
        <f>INDEX(PT_DIFFERENTIATION_TER,MATCH(B63,PT_DIFFERENTIATION_TER_ID,0))</f>
        <v>Территория 3</v>
      </c>
      <c r="AH63" s="9495"/>
      <c r="AI63" s="9495"/>
      <c r="AJ63" s="9495"/>
      <c r="AK63" s="9495"/>
      <c r="AL63" s="9495"/>
      <c r="AM63" s="9495"/>
      <c r="AN63" s="9495"/>
      <c r="AO63" s="9495"/>
      <c r="AP63" s="9495"/>
      <c r="AQ63" s="9495"/>
      <c r="AR63" s="9494"/>
      <c r="AS63" s="9495"/>
      <c r="AT63" s="9495"/>
      <c r="AU63" s="9495"/>
      <c r="AV63" s="9495"/>
      <c r="AW63" s="9495"/>
      <c r="AX63" s="9495"/>
      <c r="AY63" s="9495"/>
      <c r="AZ63" s="9495"/>
      <c r="BA63" s="9495"/>
      <c r="BB63" s="9496"/>
      <c r="BC63" s="9494"/>
      <c r="BD63" s="9495"/>
      <c r="BE63" s="9495"/>
      <c r="BF63" s="9495"/>
      <c r="BG63" s="9495"/>
      <c r="BH63" s="9495"/>
      <c r="BI63" s="9495"/>
      <c r="BJ63" s="9495"/>
      <c r="BK63" s="9495"/>
      <c r="BL63" s="9495"/>
      <c r="BM63" s="9496"/>
      <c r="BN63" s="9494"/>
      <c r="BO63" s="9495"/>
      <c r="BP63" s="9495"/>
      <c r="BQ63" s="9495"/>
      <c r="BR63" s="9495"/>
      <c r="BS63" s="9495"/>
      <c r="BT63" s="9495"/>
      <c r="BU63" s="9495"/>
      <c r="BV63" s="9495"/>
      <c r="BW63" s="9495"/>
      <c r="BX63" s="9496"/>
      <c r="BY63" s="9494"/>
      <c r="BZ63" s="9495"/>
      <c r="CA63" s="9495"/>
      <c r="CB63" s="9495"/>
      <c r="CC63" s="9495"/>
      <c r="CD63" s="9495"/>
      <c r="CE63" s="9495"/>
      <c r="CF63" s="9495"/>
      <c r="CG63" s="9495"/>
      <c r="CH63" s="9495"/>
      <c r="CI63" s="9496"/>
      <c r="CJ63" s="9494"/>
      <c r="CK63" s="9495"/>
      <c r="CL63" s="9495"/>
      <c r="CM63" s="9495"/>
      <c r="CN63" s="9495"/>
      <c r="CO63" s="9495"/>
      <c r="CP63" s="9495"/>
      <c r="CQ63" s="9495"/>
      <c r="CR63" s="9495"/>
      <c r="CS63" s="9495"/>
      <c r="CT63" s="10063"/>
      <c r="CU63" s="9494"/>
      <c r="CV63" s="9495"/>
      <c r="CW63" s="9495"/>
      <c r="CX63" s="9495"/>
      <c r="CY63" s="9495"/>
      <c r="CZ63" s="9495"/>
      <c r="DA63" s="9495"/>
      <c r="DB63" s="9495"/>
      <c r="DC63" s="9495"/>
      <c r="DD63" s="9495"/>
      <c r="DE63" s="9496"/>
      <c r="DF63" s="9494"/>
      <c r="DG63" s="9495"/>
      <c r="DH63" s="9495"/>
      <c r="DI63" s="9495"/>
      <c r="DJ63" s="9495"/>
      <c r="DK63" s="9495"/>
      <c r="DL63" s="9495"/>
      <c r="DM63" s="9495"/>
      <c r="DN63" s="9495"/>
      <c r="DO63" s="9495"/>
      <c r="DP63" s="9496"/>
      <c r="DQ63" s="9496"/>
      <c r="DR63" s="10064" t="s">
        <v>504</v>
      </c>
      <c r="DS63" s="9769"/>
      <c r="DT63" s="10065"/>
      <c r="DU63" s="10065" t="str">
        <f>IF(T63="","",T63)</f>
        <v>Территория действия тарифа</v>
      </c>
      <c r="DV63" s="10065"/>
      <c r="DW63" s="10065"/>
    </row>
    <row s="17838" customFormat="1" customHeight="1" ht="23.25">
      <c r="A64" s="10052"/>
      <c r="B64" s="10052"/>
      <c r="C64" s="10052" t="s">
        <v>312</v>
      </c>
      <c r="D64" s="10052"/>
      <c r="E64" s="10053"/>
      <c r="F64" s="10053" t="s">
        <v>99</v>
      </c>
      <c r="G64" s="10054">
        <v>1</v>
      </c>
      <c r="H64" s="10052"/>
      <c r="I64" s="10052"/>
      <c r="J64" s="10052"/>
      <c r="K64" s="10052"/>
      <c r="L64" s="10055"/>
      <c r="M64" s="10056"/>
      <c r="N64" s="10056"/>
      <c r="O64" s="10056"/>
      <c r="P64" s="10067"/>
      <c r="Q64" s="10058"/>
      <c r="R64" s="10059"/>
      <c r="S64" s="10060" t="str">
        <f>INDEX(PT_DIFFERENTIATION_NUM_CS,MATCH(C64,PT_DIFFERENTIATION_CS_ID,0))</f>
        <v>1.3.1</v>
      </c>
      <c r="T64" s="10068" t="s">
        <v>634</v>
      </c>
      <c r="U64" s="10062"/>
      <c r="V64" s="9494"/>
      <c r="W64" s="9495"/>
      <c r="X64" s="9495"/>
      <c r="Y64" s="9495"/>
      <c r="Z64" s="9495"/>
      <c r="AA64" s="9495"/>
      <c r="AB64" s="9495"/>
      <c r="AC64" s="9495"/>
      <c r="AD64" s="9495"/>
      <c r="AE64" s="9495"/>
      <c r="AF64" s="9496"/>
      <c r="AG64" s="9494" t="str">
        <f>INDEX(PT_DIFFERENTIATION_CS,MATCH(C64,PT_DIFFERENTIATION_CS_ID,0))</f>
        <v>Владивостокский ГО</v>
      </c>
      <c r="AH64" s="9495"/>
      <c r="AI64" s="9495"/>
      <c r="AJ64" s="9495"/>
      <c r="AK64" s="9495"/>
      <c r="AL64" s="9495"/>
      <c r="AM64" s="9495"/>
      <c r="AN64" s="9495"/>
      <c r="AO64" s="9495"/>
      <c r="AP64" s="9495"/>
      <c r="AQ64" s="9495"/>
      <c r="AR64" s="9494"/>
      <c r="AS64" s="9495"/>
      <c r="AT64" s="9495"/>
      <c r="AU64" s="9495"/>
      <c r="AV64" s="9495"/>
      <c r="AW64" s="9495"/>
      <c r="AX64" s="9495"/>
      <c r="AY64" s="9495"/>
      <c r="AZ64" s="9495"/>
      <c r="BA64" s="9495"/>
      <c r="BB64" s="9496"/>
      <c r="BC64" s="9494"/>
      <c r="BD64" s="9495"/>
      <c r="BE64" s="9495"/>
      <c r="BF64" s="9495"/>
      <c r="BG64" s="9495"/>
      <c r="BH64" s="9495"/>
      <c r="BI64" s="9495"/>
      <c r="BJ64" s="9495"/>
      <c r="BK64" s="9495"/>
      <c r="BL64" s="9495"/>
      <c r="BM64" s="9496"/>
      <c r="BN64" s="9494"/>
      <c r="BO64" s="9495"/>
      <c r="BP64" s="9495"/>
      <c r="BQ64" s="9495"/>
      <c r="BR64" s="9495"/>
      <c r="BS64" s="9495"/>
      <c r="BT64" s="9495"/>
      <c r="BU64" s="9495"/>
      <c r="BV64" s="9495"/>
      <c r="BW64" s="9495"/>
      <c r="BX64" s="9496"/>
      <c r="BY64" s="9494"/>
      <c r="BZ64" s="9495"/>
      <c r="CA64" s="9495"/>
      <c r="CB64" s="9495"/>
      <c r="CC64" s="9495"/>
      <c r="CD64" s="9495"/>
      <c r="CE64" s="9495"/>
      <c r="CF64" s="9495"/>
      <c r="CG64" s="9495"/>
      <c r="CH64" s="9495"/>
      <c r="CI64" s="9496"/>
      <c r="CJ64" s="9494"/>
      <c r="CK64" s="9495"/>
      <c r="CL64" s="9495"/>
      <c r="CM64" s="9495"/>
      <c r="CN64" s="9495"/>
      <c r="CO64" s="9495"/>
      <c r="CP64" s="9495"/>
      <c r="CQ64" s="9495"/>
      <c r="CR64" s="9495"/>
      <c r="CS64" s="9495"/>
      <c r="CT64" s="10063"/>
      <c r="CU64" s="9494"/>
      <c r="CV64" s="9495"/>
      <c r="CW64" s="9495"/>
      <c r="CX64" s="9495"/>
      <c r="CY64" s="9495"/>
      <c r="CZ64" s="9495"/>
      <c r="DA64" s="9495"/>
      <c r="DB64" s="9495"/>
      <c r="DC64" s="9495"/>
      <c r="DD64" s="9495"/>
      <c r="DE64" s="9496"/>
      <c r="DF64" s="9494"/>
      <c r="DG64" s="9495"/>
      <c r="DH64" s="9495"/>
      <c r="DI64" s="9495"/>
      <c r="DJ64" s="9495"/>
      <c r="DK64" s="9495"/>
      <c r="DL64" s="9495"/>
      <c r="DM64" s="9495"/>
      <c r="DN64" s="9495"/>
      <c r="DO64" s="9495"/>
      <c r="DP64" s="9496"/>
      <c r="DQ64" s="9496"/>
      <c r="DR64" s="10064" t="s">
        <v>635</v>
      </c>
      <c r="DS64" s="9769"/>
      <c r="DT64" s="10065"/>
      <c r="DU64" s="10065" t="str">
        <f>IF(T64="","",T64)</f>
        <v>Наименование централизованной системы горячего водоснабжения</v>
      </c>
      <c r="DV64" s="10065"/>
      <c r="DW64" s="10065"/>
    </row>
    <row s="17839" customFormat="1" customHeight="1" ht="23.25">
      <c r="A65" s="10052"/>
      <c r="B65" s="10052"/>
      <c r="C65" s="10052"/>
      <c r="D65" s="10052"/>
      <c r="E65" s="10053"/>
      <c r="F65" s="10053" t="s">
        <v>99</v>
      </c>
      <c r="G65" s="10053"/>
      <c r="H65" s="10053"/>
      <c r="I65" s="10070" t="str">
        <f>S64&amp;".1"</f>
        <v>1.3.1.1</v>
      </c>
      <c r="J65" s="10052"/>
      <c r="K65" s="10052"/>
      <c r="L65" s="10055"/>
      <c r="M65" s="10071"/>
      <c r="N65" s="10071"/>
      <c r="O65" s="10071"/>
      <c r="P65" s="10072">
        <v>1</v>
      </c>
      <c r="Q65" s="10072"/>
      <c r="R65" s="10073"/>
      <c r="S65" s="10060" t="str">
        <f>$I65</f>
        <v>1.3.1.1</v>
      </c>
      <c r="T65" s="10074" t="s">
        <v>587</v>
      </c>
      <c r="U65" s="10062"/>
      <c r="V65" s="9500"/>
      <c r="W65" s="9501"/>
      <c r="X65" s="9501"/>
      <c r="Y65" s="9501"/>
      <c r="Z65" s="9501"/>
      <c r="AA65" s="9501"/>
      <c r="AB65" s="9501"/>
      <c r="AC65" s="9501"/>
      <c r="AD65" s="9501"/>
      <c r="AE65" s="9501"/>
      <c r="AF65" s="9502"/>
      <c r="AG65" s="10075"/>
      <c r="AH65" s="10076"/>
      <c r="AI65" s="10076"/>
      <c r="AJ65" s="10076"/>
      <c r="AK65" s="10076"/>
      <c r="AL65" s="10076"/>
      <c r="AM65" s="10076"/>
      <c r="AN65" s="10076"/>
      <c r="AO65" s="10076"/>
      <c r="AP65" s="10076"/>
      <c r="AQ65" s="10076"/>
      <c r="AR65" s="9500"/>
      <c r="AS65" s="9501"/>
      <c r="AT65" s="9501"/>
      <c r="AU65" s="9501"/>
      <c r="AV65" s="9501"/>
      <c r="AW65" s="9501"/>
      <c r="AX65" s="9501"/>
      <c r="AY65" s="9501"/>
      <c r="AZ65" s="9501"/>
      <c r="BA65" s="9501"/>
      <c r="BB65" s="9502"/>
      <c r="BC65" s="9500"/>
      <c r="BD65" s="9501"/>
      <c r="BE65" s="9501"/>
      <c r="BF65" s="9501"/>
      <c r="BG65" s="9501"/>
      <c r="BH65" s="9501"/>
      <c r="BI65" s="9501"/>
      <c r="BJ65" s="9501"/>
      <c r="BK65" s="9501"/>
      <c r="BL65" s="9501"/>
      <c r="BM65" s="9502"/>
      <c r="BN65" s="9500"/>
      <c r="BO65" s="9501"/>
      <c r="BP65" s="9501"/>
      <c r="BQ65" s="9501"/>
      <c r="BR65" s="9501"/>
      <c r="BS65" s="9501"/>
      <c r="BT65" s="9501"/>
      <c r="BU65" s="9501"/>
      <c r="BV65" s="9501"/>
      <c r="BW65" s="9501"/>
      <c r="BX65" s="9502"/>
      <c r="BY65" s="9500"/>
      <c r="BZ65" s="9501"/>
      <c r="CA65" s="9501"/>
      <c r="CB65" s="9501"/>
      <c r="CC65" s="9501"/>
      <c r="CD65" s="9501"/>
      <c r="CE65" s="9501"/>
      <c r="CF65" s="9501"/>
      <c r="CG65" s="9501"/>
      <c r="CH65" s="9501"/>
      <c r="CI65" s="9502"/>
      <c r="CJ65" s="9500"/>
      <c r="CK65" s="9501"/>
      <c r="CL65" s="9501"/>
      <c r="CM65" s="9501"/>
      <c r="CN65" s="9501"/>
      <c r="CO65" s="9501"/>
      <c r="CP65" s="9501"/>
      <c r="CQ65" s="9501"/>
      <c r="CR65" s="9501"/>
      <c r="CS65" s="9501"/>
      <c r="CT65" s="10077"/>
      <c r="CU65" s="9500"/>
      <c r="CV65" s="9501"/>
      <c r="CW65" s="9501"/>
      <c r="CX65" s="9501"/>
      <c r="CY65" s="9501"/>
      <c r="CZ65" s="9501"/>
      <c r="DA65" s="9501"/>
      <c r="DB65" s="9501"/>
      <c r="DC65" s="9501"/>
      <c r="DD65" s="9501"/>
      <c r="DE65" s="9502"/>
      <c r="DF65" s="9500"/>
      <c r="DG65" s="9501"/>
      <c r="DH65" s="9501"/>
      <c r="DI65" s="9501"/>
      <c r="DJ65" s="9501"/>
      <c r="DK65" s="9501"/>
      <c r="DL65" s="9501"/>
      <c r="DM65" s="9501"/>
      <c r="DN65" s="9501"/>
      <c r="DO65" s="9501"/>
      <c r="DP65" s="9502"/>
      <c r="DQ65" s="10078"/>
      <c r="DR65" s="10064" t="s">
        <v>588</v>
      </c>
      <c r="DS65" s="9769"/>
      <c r="DT65" s="10065"/>
      <c r="DU65" s="10065" t="str">
        <f>IF(T65="","",T65)</f>
        <v>Наименование признака дифференциации</v>
      </c>
      <c r="DV65" s="10065"/>
      <c r="DW65" s="10065"/>
    </row>
    <row s="17840" customFormat="1" customHeight="1" ht="23.25">
      <c r="A66" s="10052"/>
      <c r="B66" s="10052"/>
      <c r="C66" s="10052"/>
      <c r="D66" s="10052"/>
      <c r="E66" s="10053"/>
      <c r="F66" s="10053" t="s">
        <v>99</v>
      </c>
      <c r="G66" s="10053"/>
      <c r="H66" s="10053"/>
      <c r="I66" s="10080"/>
      <c r="J66" s="10070" t="str">
        <f>I65&amp;".1"</f>
        <v>1.3.1.1.1</v>
      </c>
      <c r="K66" s="10052"/>
      <c r="L66" s="10055" t="s">
        <v>512</v>
      </c>
      <c r="M66" s="10071"/>
      <c r="N66" s="10071"/>
      <c r="O66" s="10071"/>
      <c r="P66" s="10072"/>
      <c r="Q66" s="10072">
        <v>1</v>
      </c>
      <c r="R66" s="10081"/>
      <c r="S66" s="10060" t="str">
        <f>$J66</f>
        <v>1.3.1.1.1</v>
      </c>
      <c r="T66" s="10082" t="s">
        <v>513</v>
      </c>
      <c r="U66" s="10062"/>
      <c r="V66" s="9506"/>
      <c r="W66" s="9507"/>
      <c r="X66" s="9507"/>
      <c r="Y66" s="9507"/>
      <c r="Z66" s="9507"/>
      <c r="AA66" s="9507"/>
      <c r="AB66" s="9507"/>
      <c r="AC66" s="9507"/>
      <c r="AD66" s="9507"/>
      <c r="AE66" s="9507"/>
      <c r="AF66" s="9508"/>
      <c r="AG66" s="9506" t="s">
        <v>647</v>
      </c>
      <c r="AH66" s="9507"/>
      <c r="AI66" s="9507"/>
      <c r="AJ66" s="9507"/>
      <c r="AK66" s="9507"/>
      <c r="AL66" s="9507"/>
      <c r="AM66" s="9507"/>
      <c r="AN66" s="9507"/>
      <c r="AO66" s="9507"/>
      <c r="AP66" s="9507"/>
      <c r="AQ66" s="9507"/>
      <c r="AR66" s="9506"/>
      <c r="AS66" s="9507"/>
      <c r="AT66" s="9507"/>
      <c r="AU66" s="9507"/>
      <c r="AV66" s="9507"/>
      <c r="AW66" s="9507"/>
      <c r="AX66" s="9507"/>
      <c r="AY66" s="9507"/>
      <c r="AZ66" s="9507"/>
      <c r="BA66" s="9507"/>
      <c r="BB66" s="9508"/>
      <c r="BC66" s="9506"/>
      <c r="BD66" s="9507"/>
      <c r="BE66" s="9507"/>
      <c r="BF66" s="9507"/>
      <c r="BG66" s="9507"/>
      <c r="BH66" s="9507"/>
      <c r="BI66" s="9507"/>
      <c r="BJ66" s="9507"/>
      <c r="BK66" s="9507"/>
      <c r="BL66" s="9507"/>
      <c r="BM66" s="9508"/>
      <c r="BN66" s="9506"/>
      <c r="BO66" s="9507"/>
      <c r="BP66" s="9507"/>
      <c r="BQ66" s="9507"/>
      <c r="BR66" s="9507"/>
      <c r="BS66" s="9507"/>
      <c r="BT66" s="9507"/>
      <c r="BU66" s="9507"/>
      <c r="BV66" s="9507"/>
      <c r="BW66" s="9507"/>
      <c r="BX66" s="9508"/>
      <c r="BY66" s="9506"/>
      <c r="BZ66" s="9507"/>
      <c r="CA66" s="9507"/>
      <c r="CB66" s="9507"/>
      <c r="CC66" s="9507"/>
      <c r="CD66" s="9507"/>
      <c r="CE66" s="9507"/>
      <c r="CF66" s="9507"/>
      <c r="CG66" s="9507"/>
      <c r="CH66" s="9507"/>
      <c r="CI66" s="9508"/>
      <c r="CJ66" s="9506"/>
      <c r="CK66" s="9507"/>
      <c r="CL66" s="9507"/>
      <c r="CM66" s="9507"/>
      <c r="CN66" s="9507"/>
      <c r="CO66" s="9507"/>
      <c r="CP66" s="9507"/>
      <c r="CQ66" s="9507"/>
      <c r="CR66" s="9507"/>
      <c r="CS66" s="9507"/>
      <c r="CT66" s="10083"/>
      <c r="CU66" s="9506"/>
      <c r="CV66" s="9507"/>
      <c r="CW66" s="9507"/>
      <c r="CX66" s="9507"/>
      <c r="CY66" s="9507"/>
      <c r="CZ66" s="9507"/>
      <c r="DA66" s="9507"/>
      <c r="DB66" s="9507"/>
      <c r="DC66" s="9507"/>
      <c r="DD66" s="9507"/>
      <c r="DE66" s="9508"/>
      <c r="DF66" s="9506"/>
      <c r="DG66" s="9507"/>
      <c r="DH66" s="9507"/>
      <c r="DI66" s="9507"/>
      <c r="DJ66" s="9507"/>
      <c r="DK66" s="9507"/>
      <c r="DL66" s="9507"/>
      <c r="DM66" s="9507"/>
      <c r="DN66" s="9507"/>
      <c r="DO66" s="9507"/>
      <c r="DP66" s="9508"/>
      <c r="DQ66" s="9508"/>
      <c r="DR66" s="10084" t="s">
        <v>589</v>
      </c>
      <c r="DS66" s="9769"/>
      <c r="DT66" s="10065"/>
      <c r="DU66" s="10065" t="str">
        <f>IF(T66="","",T66)</f>
        <v>Группа потребителей</v>
      </c>
      <c r="DV66" s="10065"/>
      <c r="DW66" s="10065"/>
    </row>
    <row s="17841" customFormat="1" customHeight="1" ht="23.25">
      <c r="A67" s="10052"/>
      <c r="B67" s="10052"/>
      <c r="C67" s="10052"/>
      <c r="D67" s="10052"/>
      <c r="E67" s="10053"/>
      <c r="F67" s="10053" t="s">
        <v>99</v>
      </c>
      <c r="G67" s="10053"/>
      <c r="H67" s="10053"/>
      <c r="I67" s="10080"/>
      <c r="J67" s="10080"/>
      <c r="K67" s="10070" t="str">
        <f>J66&amp;".1"</f>
        <v>1.3.1.1.1.1</v>
      </c>
      <c r="L67" s="10055"/>
      <c r="M67" s="10071"/>
      <c r="N67" s="10071"/>
      <c r="O67" s="10071"/>
      <c r="P67" s="10072"/>
      <c r="Q67" s="10072"/>
      <c r="R67" s="10081">
        <v>1</v>
      </c>
      <c r="S67" s="10060" t="str">
        <f>$K67</f>
        <v>1.3.1.1.1.1</v>
      </c>
      <c r="T67" s="10086"/>
      <c r="U67" s="10062"/>
      <c r="V67" s="9512"/>
      <c r="W67" s="9512"/>
      <c r="X67" s="9512"/>
      <c r="Y67" s="9512"/>
      <c r="Z67" s="9512"/>
      <c r="AA67" s="9512"/>
      <c r="AB67" s="9512"/>
      <c r="AC67" s="9513"/>
      <c r="AD67" s="9514" t="s">
        <v>63</v>
      </c>
      <c r="AE67" s="9513"/>
      <c r="AF67" s="9514" t="s">
        <v>63</v>
      </c>
      <c r="AG67" s="9512">
        <v>369.89</v>
      </c>
      <c r="AH67" s="9512"/>
      <c r="AI67" s="9512"/>
      <c r="AJ67" s="9512"/>
      <c r="AK67" s="9512"/>
      <c r="AL67" s="9512"/>
      <c r="AM67" s="9512"/>
      <c r="AN67" s="9513">
        <v>45658.52989583334</v>
      </c>
      <c r="AO67" s="9514" t="s">
        <v>63</v>
      </c>
      <c r="AP67" s="9817">
        <v>45838.53005787037</v>
      </c>
      <c r="AQ67" s="9514" t="s">
        <v>63</v>
      </c>
      <c r="AR67" s="9512">
        <v>587.2</v>
      </c>
      <c r="AS67" s="9512"/>
      <c r="AT67" s="9512"/>
      <c r="AU67" s="9512"/>
      <c r="AV67" s="9512"/>
      <c r="AW67" s="9512"/>
      <c r="AX67" s="9512"/>
      <c r="AY67" s="9513">
        <v>45839.53162037037</v>
      </c>
      <c r="AZ67" s="9514" t="s">
        <v>63</v>
      </c>
      <c r="BA67" s="9513">
        <v>46022.53144675926</v>
      </c>
      <c r="BB67" s="9514" t="s">
        <v>63</v>
      </c>
      <c r="BC67" s="9512">
        <v>587.2</v>
      </c>
      <c r="BD67" s="9512"/>
      <c r="BE67" s="9512"/>
      <c r="BF67" s="9512"/>
      <c r="BG67" s="9512"/>
      <c r="BH67" s="9512"/>
      <c r="BI67" s="9512"/>
      <c r="BJ67" s="9513">
        <v>46023.5312037037</v>
      </c>
      <c r="BK67" s="9514" t="s">
        <v>63</v>
      </c>
      <c r="BL67" s="9513">
        <v>46203.53109953704</v>
      </c>
      <c r="BM67" s="9514" t="s">
        <v>63</v>
      </c>
      <c r="BN67" s="9512">
        <v>610.68</v>
      </c>
      <c r="BO67" s="9512"/>
      <c r="BP67" s="9512"/>
      <c r="BQ67" s="9512"/>
      <c r="BR67" s="9512"/>
      <c r="BS67" s="9512"/>
      <c r="BT67" s="9512"/>
      <c r="BU67" s="9513">
        <v>46204.53065972222</v>
      </c>
      <c r="BV67" s="9514" t="s">
        <v>63</v>
      </c>
      <c r="BW67" s="9513">
        <v>46387.53052083333</v>
      </c>
      <c r="BX67" s="9514" t="s">
        <v>63</v>
      </c>
      <c r="BY67" s="9512">
        <v>610.68</v>
      </c>
      <c r="BZ67" s="9512"/>
      <c r="CA67" s="9512"/>
      <c r="CB67" s="9512"/>
      <c r="CC67" s="9512"/>
      <c r="CD67" s="9512"/>
      <c r="CE67" s="9512"/>
      <c r="CF67" s="9513">
        <v>46388.52936342593</v>
      </c>
      <c r="CG67" s="9514" t="s">
        <v>63</v>
      </c>
      <c r="CH67" s="9513">
        <v>46568.52925925926</v>
      </c>
      <c r="CI67" s="9514" t="s">
        <v>63</v>
      </c>
      <c r="CJ67" s="9512">
        <v>635.11</v>
      </c>
      <c r="CK67" s="9512"/>
      <c r="CL67" s="9512"/>
      <c r="CM67" s="9512"/>
      <c r="CN67" s="9512"/>
      <c r="CO67" s="9512"/>
      <c r="CP67" s="9512"/>
      <c r="CQ67" s="9513">
        <v>46569.52914351852</v>
      </c>
      <c r="CR67" s="9514" t="s">
        <v>63</v>
      </c>
      <c r="CS67" s="9513">
        <v>46752.52885416667</v>
      </c>
      <c r="CT67" s="10087" t="s">
        <v>63</v>
      </c>
      <c r="CU67" s="9512">
        <v>635.11</v>
      </c>
      <c r="CV67" s="9512"/>
      <c r="CW67" s="9512"/>
      <c r="CX67" s="9512"/>
      <c r="CY67" s="9512"/>
      <c r="CZ67" s="9512"/>
      <c r="DA67" s="9512"/>
      <c r="DB67" s="9513">
        <v>46753.528402777774</v>
      </c>
      <c r="DC67" s="9514" t="s">
        <v>63</v>
      </c>
      <c r="DD67" s="9513">
        <v>46934.52824074074</v>
      </c>
      <c r="DE67" s="9514" t="s">
        <v>63</v>
      </c>
      <c r="DF67" s="9512">
        <v>660.52</v>
      </c>
      <c r="DG67" s="9512"/>
      <c r="DH67" s="9512"/>
      <c r="DI67" s="9512"/>
      <c r="DJ67" s="9512"/>
      <c r="DK67" s="9512"/>
      <c r="DL67" s="9512"/>
      <c r="DM67" s="9513">
        <v>46935.52795138889</v>
      </c>
      <c r="DN67" s="9514" t="s">
        <v>63</v>
      </c>
      <c r="DO67" s="9513">
        <v>47118.527662037035</v>
      </c>
      <c r="DP67" s="9514" t="s">
        <v>63</v>
      </c>
      <c r="DQ67" s="10088"/>
      <c r="DR67" s="100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S67" s="9769">
        <f>STRCHECKDATE(V68:DQ68)</f>
      </c>
      <c r="DT67" s="10065"/>
      <c r="DU67" s="10065" t="str">
        <f>IF(T67="","",T67)</f>
        <v/>
      </c>
      <c r="DV67" s="10065"/>
      <c r="DW67" s="10065"/>
    </row>
    <row s="17842" customFormat="1" customHeight="1" ht="14.25">
      <c r="A68" s="10052"/>
      <c r="B68" s="10052"/>
      <c r="C68" s="10052"/>
      <c r="D68" s="10052"/>
      <c r="E68" s="10053"/>
      <c r="F68" s="10053" t="s">
        <v>99</v>
      </c>
      <c r="G68" s="10053"/>
      <c r="H68" s="10053"/>
      <c r="I68" s="10080"/>
      <c r="J68" s="10080"/>
      <c r="K68" s="10070"/>
      <c r="L68" s="10055"/>
      <c r="M68" s="10071"/>
      <c r="N68" s="10071"/>
      <c r="O68" s="10071"/>
      <c r="P68" s="10072"/>
      <c r="Q68" s="10072"/>
      <c r="R68" s="10081"/>
      <c r="S68" s="10091"/>
      <c r="T68" s="10062"/>
      <c r="U68" s="10062"/>
      <c r="V68" s="9517"/>
      <c r="W68" s="9517"/>
      <c r="X68" s="9517"/>
      <c r="Y68" s="9517"/>
      <c r="Z68" s="9517"/>
      <c r="AA68" s="9517"/>
      <c r="AB68" s="9517"/>
      <c r="AC68" s="9518"/>
      <c r="AD68" s="9514"/>
      <c r="AE68" s="9518"/>
      <c r="AF68" s="9514"/>
      <c r="AG68" s="9517"/>
      <c r="AH68" s="9517"/>
      <c r="AI68" s="9517"/>
      <c r="AJ68" s="9517"/>
      <c r="AK68" s="9517"/>
      <c r="AL68" s="9517"/>
      <c r="AM68" s="9517"/>
      <c r="AN68" s="9518"/>
      <c r="AO68" s="9514"/>
      <c r="AP68" s="9819"/>
      <c r="AQ68" s="9514"/>
      <c r="AR68" s="9517"/>
      <c r="AS68" s="9517"/>
      <c r="AT68" s="9517"/>
      <c r="AU68" s="9517"/>
      <c r="AV68" s="9517"/>
      <c r="AW68" s="9517"/>
      <c r="AX68" s="9517"/>
      <c r="AY68" s="9518"/>
      <c r="AZ68" s="9514"/>
      <c r="BA68" s="9518"/>
      <c r="BB68" s="9514"/>
      <c r="BC68" s="9517"/>
      <c r="BD68" s="9517"/>
      <c r="BE68" s="9517"/>
      <c r="BF68" s="9517"/>
      <c r="BG68" s="9517"/>
      <c r="BH68" s="9517"/>
      <c r="BI68" s="9517"/>
      <c r="BJ68" s="9518"/>
      <c r="BK68" s="9514"/>
      <c r="BL68" s="9518"/>
      <c r="BM68" s="9514"/>
      <c r="BN68" s="9517"/>
      <c r="BO68" s="9517"/>
      <c r="BP68" s="9517"/>
      <c r="BQ68" s="9517"/>
      <c r="BR68" s="9517"/>
      <c r="BS68" s="9517"/>
      <c r="BT68" s="9517"/>
      <c r="BU68" s="9518"/>
      <c r="BV68" s="9514"/>
      <c r="BW68" s="9518"/>
      <c r="BX68" s="9514"/>
      <c r="BY68" s="9517"/>
      <c r="BZ68" s="9517"/>
      <c r="CA68" s="9517"/>
      <c r="CB68" s="9517"/>
      <c r="CC68" s="9517"/>
      <c r="CD68" s="9517"/>
      <c r="CE68" s="9517"/>
      <c r="CF68" s="9518"/>
      <c r="CG68" s="9514"/>
      <c r="CH68" s="9518"/>
      <c r="CI68" s="9514"/>
      <c r="CJ68" s="9517"/>
      <c r="CK68" s="9517"/>
      <c r="CL68" s="9517"/>
      <c r="CM68" s="9517"/>
      <c r="CN68" s="9517"/>
      <c r="CO68" s="9517"/>
      <c r="CP68" s="9517"/>
      <c r="CQ68" s="9518"/>
      <c r="CR68" s="9514"/>
      <c r="CS68" s="9518"/>
      <c r="CT68" s="10087"/>
      <c r="CU68" s="9517"/>
      <c r="CV68" s="9517"/>
      <c r="CW68" s="9517"/>
      <c r="CX68" s="9517"/>
      <c r="CY68" s="9517"/>
      <c r="CZ68" s="9517"/>
      <c r="DA68" s="9517"/>
      <c r="DB68" s="9518"/>
      <c r="DC68" s="9514"/>
      <c r="DD68" s="9518"/>
      <c r="DE68" s="9514"/>
      <c r="DF68" s="9517"/>
      <c r="DG68" s="9517"/>
      <c r="DH68" s="9517"/>
      <c r="DI68" s="9517"/>
      <c r="DJ68" s="9517"/>
      <c r="DK68" s="9517"/>
      <c r="DL68" s="9517"/>
      <c r="DM68" s="9518"/>
      <c r="DN68" s="9514"/>
      <c r="DO68" s="9518"/>
      <c r="DP68" s="9514"/>
      <c r="DQ68" s="10092"/>
      <c r="DR68" s="10089"/>
      <c r="DS68" s="9769"/>
      <c r="DT68" s="10065"/>
      <c r="DU68" s="10065" t="str">
        <f>IF(T68="","",T68)</f>
        <v/>
      </c>
      <c r="DV68" s="10065"/>
      <c r="DW68" s="10065"/>
    </row>
    <row s="17843" customFormat="1" customHeight="1" ht="21">
      <c r="A69" s="10052"/>
      <c r="B69" s="10052"/>
      <c r="C69" s="10052"/>
      <c r="D69" s="10052"/>
      <c r="E69" s="10053"/>
      <c r="F69" s="10053" t="s">
        <v>99</v>
      </c>
      <c r="G69" s="10053"/>
      <c r="H69" s="10053"/>
      <c r="I69" s="10080"/>
      <c r="J69" s="10070"/>
      <c r="K69" s="10052"/>
      <c r="L69" s="10055"/>
      <c r="M69" s="10071"/>
      <c r="N69" s="10071"/>
      <c r="O69" s="10071"/>
      <c r="P69" s="10072"/>
      <c r="Q69" s="10072"/>
      <c r="R69" s="10073"/>
      <c r="S69" s="10426"/>
      <c r="T69" s="10427" t="s">
        <v>590</v>
      </c>
      <c r="U69" s="10428"/>
      <c r="V69" s="10429"/>
      <c r="W69" s="10430"/>
      <c r="X69" s="10431"/>
      <c r="Y69" s="10432"/>
      <c r="Z69" s="10433"/>
      <c r="AA69" s="10434"/>
      <c r="AB69" s="10435"/>
      <c r="AC69" s="10436"/>
      <c r="AD69" s="10437"/>
      <c r="AE69" s="10438"/>
      <c r="AF69" s="10439"/>
      <c r="AG69" s="10440"/>
      <c r="AH69" s="10441"/>
      <c r="AI69" s="10442"/>
      <c r="AJ69" s="10443"/>
      <c r="AK69" s="10444"/>
      <c r="AL69" s="10445"/>
      <c r="AM69" s="10446"/>
      <c r="AN69" s="10447"/>
      <c r="AO69" s="10448"/>
      <c r="AP69" s="10449"/>
      <c r="AQ69" s="10450"/>
      <c r="AR69" s="10451"/>
      <c r="AS69" s="10452"/>
      <c r="AT69" s="10453"/>
      <c r="AU69" s="10454"/>
      <c r="AV69" s="10455"/>
      <c r="AW69" s="10456"/>
      <c r="AX69" s="10457"/>
      <c r="AY69" s="10458"/>
      <c r="AZ69" s="10459"/>
      <c r="BA69" s="10460"/>
      <c r="BB69" s="10461"/>
      <c r="BC69" s="10462"/>
      <c r="BD69" s="10463"/>
      <c r="BE69" s="10464"/>
      <c r="BF69" s="10465"/>
      <c r="BG69" s="10466"/>
      <c r="BH69" s="10467"/>
      <c r="BI69" s="10468"/>
      <c r="BJ69" s="10469"/>
      <c r="BK69" s="10470"/>
      <c r="BL69" s="10471"/>
      <c r="BM69" s="10472"/>
      <c r="BN69" s="10473"/>
      <c r="BO69" s="10474"/>
      <c r="BP69" s="10475"/>
      <c r="BQ69" s="10476"/>
      <c r="BR69" s="10477"/>
      <c r="BS69" s="10478"/>
      <c r="BT69" s="10479"/>
      <c r="BU69" s="10480"/>
      <c r="BV69" s="10481"/>
      <c r="BW69" s="10482"/>
      <c r="BX69" s="10483"/>
      <c r="BY69" s="10484"/>
      <c r="BZ69" s="10485"/>
      <c r="CA69" s="10486"/>
      <c r="CB69" s="10487"/>
      <c r="CC69" s="10488"/>
      <c r="CD69" s="10489"/>
      <c r="CE69" s="10490"/>
      <c r="CF69" s="10491"/>
      <c r="CG69" s="10492"/>
      <c r="CH69" s="10493"/>
      <c r="CI69" s="10494"/>
      <c r="CJ69" s="10495"/>
      <c r="CK69" s="10496"/>
      <c r="CL69" s="10497"/>
      <c r="CM69" s="10498"/>
      <c r="CN69" s="10499"/>
      <c r="CO69" s="10500"/>
      <c r="CP69" s="10501"/>
      <c r="CQ69" s="10502"/>
      <c r="CR69" s="10503"/>
      <c r="CS69" s="10504"/>
      <c r="CT69" s="10505"/>
      <c r="CU69" s="10506"/>
      <c r="CV69" s="10507"/>
      <c r="CW69" s="10508"/>
      <c r="CX69" s="10509"/>
      <c r="CY69" s="10510"/>
      <c r="CZ69" s="10511"/>
      <c r="DA69" s="10512"/>
      <c r="DB69" s="10513"/>
      <c r="DC69" s="10514"/>
      <c r="DD69" s="10515"/>
      <c r="DE69" s="10516"/>
      <c r="DF69" s="10517"/>
      <c r="DG69" s="10518"/>
      <c r="DH69" s="10519"/>
      <c r="DI69" s="10520"/>
      <c r="DJ69" s="10521"/>
      <c r="DK69" s="10522"/>
      <c r="DL69" s="10523"/>
      <c r="DM69" s="10524"/>
      <c r="DN69" s="10525"/>
      <c r="DO69" s="10526"/>
      <c r="DP69" s="10527"/>
      <c r="DQ69" s="10528"/>
      <c r="DR69" s="10064" t="s">
        <v>591</v>
      </c>
      <c r="DS69" s="9769"/>
      <c r="DT69" s="10065"/>
      <c r="DU69" s="10065" t="str">
        <f>IF(T69="","",T69)</f>
        <v>Добавить значение признака дифференциации</v>
      </c>
      <c r="DV69" s="10065"/>
      <c r="DW69" s="10065"/>
    </row>
    <row s="17947" customFormat="1" customHeight="1" ht="21">
      <c r="A70" s="10052"/>
      <c r="B70" s="10052"/>
      <c r="C70" s="10052"/>
      <c r="D70" s="10052"/>
      <c r="E70" s="10053"/>
      <c r="F70" s="10053" t="s">
        <v>99</v>
      </c>
      <c r="G70" s="10053"/>
      <c r="H70" s="10053"/>
      <c r="I70" s="10070"/>
      <c r="J70" s="10052"/>
      <c r="K70" s="10052"/>
      <c r="L70" s="10055"/>
      <c r="M70" s="10071"/>
      <c r="N70" s="10071"/>
      <c r="O70" s="10071"/>
      <c r="P70" s="10072"/>
      <c r="Q70" s="10072"/>
      <c r="R70" s="10073"/>
      <c r="S70" s="10530"/>
      <c r="T70" s="10531" t="s">
        <v>518</v>
      </c>
      <c r="U70" s="10532"/>
      <c r="V70" s="10533"/>
      <c r="W70" s="10534"/>
      <c r="X70" s="10535"/>
      <c r="Y70" s="10536"/>
      <c r="Z70" s="10537"/>
      <c r="AA70" s="10538"/>
      <c r="AB70" s="10539"/>
      <c r="AC70" s="10540"/>
      <c r="AD70" s="10541"/>
      <c r="AE70" s="10542"/>
      <c r="AF70" s="10543"/>
      <c r="AG70" s="10544"/>
      <c r="AH70" s="10545"/>
      <c r="AI70" s="10546"/>
      <c r="AJ70" s="10547"/>
      <c r="AK70" s="10548"/>
      <c r="AL70" s="10549"/>
      <c r="AM70" s="10550"/>
      <c r="AN70" s="10551"/>
      <c r="AO70" s="10552"/>
      <c r="AP70" s="10553"/>
      <c r="AQ70" s="10554"/>
      <c r="AR70" s="10555"/>
      <c r="AS70" s="10556"/>
      <c r="AT70" s="10557"/>
      <c r="AU70" s="10558"/>
      <c r="AV70" s="10559"/>
      <c r="AW70" s="10560"/>
      <c r="AX70" s="10561"/>
      <c r="AY70" s="10562"/>
      <c r="AZ70" s="10563"/>
      <c r="BA70" s="10564"/>
      <c r="BB70" s="10565"/>
      <c r="BC70" s="10566"/>
      <c r="BD70" s="10567"/>
      <c r="BE70" s="10568"/>
      <c r="BF70" s="10569"/>
      <c r="BG70" s="10570"/>
      <c r="BH70" s="10571"/>
      <c r="BI70" s="10572"/>
      <c r="BJ70" s="10573"/>
      <c r="BK70" s="10574"/>
      <c r="BL70" s="10575"/>
      <c r="BM70" s="10576"/>
      <c r="BN70" s="10577"/>
      <c r="BO70" s="10578"/>
      <c r="BP70" s="10579"/>
      <c r="BQ70" s="10580"/>
      <c r="BR70" s="10581"/>
      <c r="BS70" s="10582"/>
      <c r="BT70" s="10583"/>
      <c r="BU70" s="10584"/>
      <c r="BV70" s="10585"/>
      <c r="BW70" s="10586"/>
      <c r="BX70" s="10587"/>
      <c r="BY70" s="10588"/>
      <c r="BZ70" s="10589"/>
      <c r="CA70" s="10590"/>
      <c r="CB70" s="10591"/>
      <c r="CC70" s="10592"/>
      <c r="CD70" s="10593"/>
      <c r="CE70" s="10594"/>
      <c r="CF70" s="10595"/>
      <c r="CG70" s="10596"/>
      <c r="CH70" s="10597"/>
      <c r="CI70" s="10598"/>
      <c r="CJ70" s="10599"/>
      <c r="CK70" s="10600"/>
      <c r="CL70" s="10601"/>
      <c r="CM70" s="10602"/>
      <c r="CN70" s="10603"/>
      <c r="CO70" s="10604"/>
      <c r="CP70" s="10605"/>
      <c r="CQ70" s="10606"/>
      <c r="CR70" s="10607"/>
      <c r="CS70" s="10608"/>
      <c r="CT70" s="10609"/>
      <c r="CU70" s="10610"/>
      <c r="CV70" s="10611"/>
      <c r="CW70" s="10612"/>
      <c r="CX70" s="10613"/>
      <c r="CY70" s="10614"/>
      <c r="CZ70" s="10615"/>
      <c r="DA70" s="10616"/>
      <c r="DB70" s="10617"/>
      <c r="DC70" s="10618"/>
      <c r="DD70" s="10619"/>
      <c r="DE70" s="10620"/>
      <c r="DF70" s="10621"/>
      <c r="DG70" s="10622"/>
      <c r="DH70" s="10623"/>
      <c r="DI70" s="10624"/>
      <c r="DJ70" s="10625"/>
      <c r="DK70" s="10626"/>
      <c r="DL70" s="10627"/>
      <c r="DM70" s="10628"/>
      <c r="DN70" s="10629"/>
      <c r="DO70" s="10630"/>
      <c r="DP70" s="10631"/>
      <c r="DQ70" s="10632"/>
      <c r="DR70" s="10633"/>
      <c r="DS70" s="9769"/>
      <c r="DT70" s="10065"/>
      <c r="DU70" s="10065" t="str">
        <f>IF(T70="","",T70)</f>
        <v>Добавить группу потребителей</v>
      </c>
      <c r="DV70" s="10065"/>
      <c r="DW70" s="10065"/>
    </row>
    <row s="18052" customFormat="1" customHeight="1" ht="21">
      <c r="A71" s="10052"/>
      <c r="B71" s="10052"/>
      <c r="C71" s="10052"/>
      <c r="D71" s="10052"/>
      <c r="E71" s="10053"/>
      <c r="F71" s="10053" t="s">
        <v>99</v>
      </c>
      <c r="G71" s="10053"/>
      <c r="H71" s="10054"/>
      <c r="I71" s="10052"/>
      <c r="J71" s="10052"/>
      <c r="K71" s="10052"/>
      <c r="L71" s="10055"/>
      <c r="M71" s="10056"/>
      <c r="N71" s="10056"/>
      <c r="O71" s="9754"/>
      <c r="P71" s="10303"/>
      <c r="Q71" s="10304"/>
      <c r="R71" s="10305"/>
      <c r="S71" s="10635"/>
      <c r="T71" s="10636" t="s">
        <v>592</v>
      </c>
      <c r="U71" s="10637"/>
      <c r="V71" s="10638"/>
      <c r="W71" s="10639"/>
      <c r="X71" s="10640"/>
      <c r="Y71" s="10641"/>
      <c r="Z71" s="10642"/>
      <c r="AA71" s="10643"/>
      <c r="AB71" s="10644"/>
      <c r="AC71" s="10645"/>
      <c r="AD71" s="10646"/>
      <c r="AE71" s="10647"/>
      <c r="AF71" s="10648"/>
      <c r="AG71" s="10649"/>
      <c r="AH71" s="10650"/>
      <c r="AI71" s="10651"/>
      <c r="AJ71" s="10652"/>
      <c r="AK71" s="10653"/>
      <c r="AL71" s="10654"/>
      <c r="AM71" s="10655"/>
      <c r="AN71" s="10656"/>
      <c r="AO71" s="10657"/>
      <c r="AP71" s="10658"/>
      <c r="AQ71" s="10659"/>
      <c r="AR71" s="10660"/>
      <c r="AS71" s="10661"/>
      <c r="AT71" s="10662"/>
      <c r="AU71" s="10663"/>
      <c r="AV71" s="10664"/>
      <c r="AW71" s="10665"/>
      <c r="AX71" s="10666"/>
      <c r="AY71" s="10667"/>
      <c r="AZ71" s="10668"/>
      <c r="BA71" s="10669"/>
      <c r="BB71" s="10670"/>
      <c r="BC71" s="10671"/>
      <c r="BD71" s="10672"/>
      <c r="BE71" s="10673"/>
      <c r="BF71" s="10674"/>
      <c r="BG71" s="10675"/>
      <c r="BH71" s="10676"/>
      <c r="BI71" s="10677"/>
      <c r="BJ71" s="10678"/>
      <c r="BK71" s="10679"/>
      <c r="BL71" s="10680"/>
      <c r="BM71" s="10681"/>
      <c r="BN71" s="10682"/>
      <c r="BO71" s="10683"/>
      <c r="BP71" s="10684"/>
      <c r="BQ71" s="10685"/>
      <c r="BR71" s="10686"/>
      <c r="BS71" s="10687"/>
      <c r="BT71" s="10688"/>
      <c r="BU71" s="10689"/>
      <c r="BV71" s="10690"/>
      <c r="BW71" s="10691"/>
      <c r="BX71" s="10692"/>
      <c r="BY71" s="10693"/>
      <c r="BZ71" s="10694"/>
      <c r="CA71" s="10695"/>
      <c r="CB71" s="10696"/>
      <c r="CC71" s="10697"/>
      <c r="CD71" s="10698"/>
      <c r="CE71" s="10699"/>
      <c r="CF71" s="10700"/>
      <c r="CG71" s="10701"/>
      <c r="CH71" s="10702"/>
      <c r="CI71" s="10703"/>
      <c r="CJ71" s="10704"/>
      <c r="CK71" s="10705"/>
      <c r="CL71" s="10706"/>
      <c r="CM71" s="10707"/>
      <c r="CN71" s="10708"/>
      <c r="CO71" s="10709"/>
      <c r="CP71" s="10710"/>
      <c r="CQ71" s="10711"/>
      <c r="CR71" s="10712"/>
      <c r="CS71" s="10713"/>
      <c r="CT71" s="10714"/>
      <c r="CU71" s="10715"/>
      <c r="CV71" s="10716"/>
      <c r="CW71" s="10717"/>
      <c r="CX71" s="10718"/>
      <c r="CY71" s="10719"/>
      <c r="CZ71" s="10720"/>
      <c r="DA71" s="10721"/>
      <c r="DB71" s="10722"/>
      <c r="DC71" s="10723"/>
      <c r="DD71" s="10724"/>
      <c r="DE71" s="10725"/>
      <c r="DF71" s="10726"/>
      <c r="DG71" s="10727"/>
      <c r="DH71" s="10728"/>
      <c r="DI71" s="10729"/>
      <c r="DJ71" s="10730"/>
      <c r="DK71" s="10731"/>
      <c r="DL71" s="10732"/>
      <c r="DM71" s="10733"/>
      <c r="DN71" s="10734"/>
      <c r="DO71" s="10735"/>
      <c r="DP71" s="10736"/>
      <c r="DQ71" s="10737"/>
      <c r="DR71" s="10738"/>
      <c r="DS71" s="9769"/>
      <c r="DT71" s="10065"/>
      <c r="DU71" s="10065" t="str">
        <f>IF(T71="","",T71)</f>
        <v>Добавить наименование признака дифференциации</v>
      </c>
      <c r="DV71" s="10065"/>
      <c r="DW71" s="10065"/>
    </row>
    <row s="18157" customFormat="1" customHeight="1" ht="14.25">
      <c r="A72" s="10411"/>
      <c r="B72" s="10411"/>
      <c r="C72" s="10411"/>
      <c r="D72" s="10411"/>
      <c r="E72" s="10053"/>
      <c r="F72" s="10054" t="s">
        <v>99</v>
      </c>
      <c r="G72" s="10411"/>
      <c r="H72" s="10411"/>
      <c r="I72" s="10411"/>
      <c r="J72" s="10411"/>
      <c r="K72" s="10411"/>
      <c r="L72" s="10412"/>
      <c r="M72" s="10413"/>
      <c r="N72" s="10413"/>
      <c r="O72" s="9769"/>
      <c r="P72" s="10414"/>
      <c r="Q72" s="10415"/>
      <c r="R72" s="10414"/>
      <c r="S72" s="10416"/>
      <c r="T72" s="10417" t="s">
        <v>305</v>
      </c>
      <c r="U72" s="9751"/>
      <c r="V72" s="9751"/>
      <c r="W72" s="9751"/>
      <c r="X72" s="9751"/>
      <c r="Y72" s="9751"/>
      <c r="Z72" s="9751"/>
      <c r="AA72" s="9751"/>
      <c r="AB72" s="9751"/>
      <c r="AC72" s="9751"/>
      <c r="AD72" s="9751"/>
      <c r="AE72" s="9751"/>
      <c r="AF72" s="9751"/>
      <c r="AG72" s="9751"/>
      <c r="AH72" s="9751"/>
      <c r="AI72" s="9751"/>
      <c r="AJ72" s="9751"/>
      <c r="AK72" s="9751"/>
      <c r="AL72" s="9751"/>
      <c r="AM72" s="9751"/>
      <c r="AN72" s="9751"/>
      <c r="AO72" s="9751"/>
      <c r="AP72" s="9751"/>
      <c r="AQ72" s="9751"/>
      <c r="AR72" s="9751"/>
      <c r="AS72" s="9751"/>
      <c r="AT72" s="9751"/>
      <c r="AU72" s="9751"/>
      <c r="AV72" s="9751"/>
      <c r="AW72" s="9751"/>
      <c r="AX72" s="9751"/>
      <c r="AY72" s="9751"/>
      <c r="AZ72" s="9751"/>
      <c r="BA72" s="9751"/>
      <c r="BB72" s="9751"/>
      <c r="BC72" s="9751"/>
      <c r="BD72" s="9751"/>
      <c r="BE72" s="9751"/>
      <c r="BF72" s="9751"/>
      <c r="BG72" s="9751"/>
      <c r="BH72" s="9751"/>
      <c r="BI72" s="9751"/>
      <c r="BJ72" s="9751"/>
      <c r="BK72" s="9751"/>
      <c r="BL72" s="9751"/>
      <c r="BM72" s="9751"/>
      <c r="BN72" s="9751"/>
      <c r="BO72" s="9751"/>
      <c r="BP72" s="9751"/>
      <c r="BQ72" s="9751"/>
      <c r="BR72" s="9751"/>
      <c r="BS72" s="9751"/>
      <c r="BT72" s="9751"/>
      <c r="BU72" s="9751"/>
      <c r="BV72" s="9751"/>
      <c r="BW72" s="9751"/>
      <c r="BX72" s="9751"/>
      <c r="BY72" s="9751"/>
      <c r="BZ72" s="9751"/>
      <c r="CA72" s="9751"/>
      <c r="CB72" s="9751"/>
      <c r="CC72" s="9751"/>
      <c r="CD72" s="9751"/>
      <c r="CE72" s="9751"/>
      <c r="CF72" s="9751"/>
      <c r="CG72" s="9751"/>
      <c r="CH72" s="9751"/>
      <c r="CI72" s="9751"/>
      <c r="CJ72" s="9751"/>
      <c r="CK72" s="9751"/>
      <c r="CL72" s="9751"/>
      <c r="CM72" s="9751"/>
      <c r="CN72" s="9751"/>
      <c r="CO72" s="9751"/>
      <c r="CP72" s="9751"/>
      <c r="CQ72" s="9751"/>
      <c r="CR72" s="9751"/>
      <c r="CS72" s="9751"/>
      <c r="CT72" s="10418"/>
      <c r="CU72" s="9751"/>
      <c r="CV72" s="9751"/>
      <c r="CW72" s="9751"/>
      <c r="CX72" s="9751"/>
      <c r="CY72" s="9751"/>
      <c r="CZ72" s="9751"/>
      <c r="DA72" s="9751"/>
      <c r="DB72" s="9751"/>
      <c r="DC72" s="9751"/>
      <c r="DD72" s="9751"/>
      <c r="DE72" s="9751"/>
      <c r="DF72" s="9751"/>
      <c r="DG72" s="9751"/>
      <c r="DH72" s="9751"/>
      <c r="DI72" s="9751"/>
      <c r="DJ72" s="9751"/>
      <c r="DK72" s="9751"/>
      <c r="DL72" s="9751"/>
      <c r="DM72" s="9751"/>
      <c r="DN72" s="9751"/>
      <c r="DO72" s="9751"/>
      <c r="DP72" s="9751"/>
      <c r="DQ72" s="9751"/>
      <c r="DR72" s="9751"/>
      <c r="DS72" s="9769"/>
      <c r="DT72" s="10065"/>
      <c r="DU72" s="10065" t="str">
        <f>IF(T72="","",T72)</f>
        <v>Добавить централизованную систему для дифференциации</v>
      </c>
      <c r="DV72" s="10065"/>
      <c r="DW72" s="10065"/>
    </row>
    <row s="18158" customFormat="1" customHeight="1" ht="23.25">
      <c r="A73" s="10052"/>
      <c r="B73" s="10052" t="s">
        <v>315</v>
      </c>
      <c r="C73" s="10052"/>
      <c r="D73" s="10052"/>
      <c r="E73" s="10053"/>
      <c r="F73" s="10054" t="s">
        <v>87</v>
      </c>
      <c r="G73" s="10052"/>
      <c r="H73" s="10052"/>
      <c r="I73" s="10052"/>
      <c r="J73" s="10052"/>
      <c r="K73" s="10052"/>
      <c r="L73" s="10055"/>
      <c r="M73" s="10056"/>
      <c r="N73" s="10056"/>
      <c r="O73" s="10056"/>
      <c r="P73" s="10057"/>
      <c r="Q73" s="10058"/>
      <c r="R73" s="10059"/>
      <c r="S73" s="10060" t="str">
        <f>INDEX(PT_DIFFERENTIATION_NUM_TER,MATCH(B73,PT_DIFFERENTIATION_TER_ID,0))</f>
        <v>1.4</v>
      </c>
      <c r="T73" s="10061" t="s">
        <v>503</v>
      </c>
      <c r="U73" s="10062"/>
      <c r="V73" s="9494"/>
      <c r="W73" s="9495"/>
      <c r="X73" s="9495"/>
      <c r="Y73" s="9495"/>
      <c r="Z73" s="9495"/>
      <c r="AA73" s="9495"/>
      <c r="AB73" s="9495"/>
      <c r="AC73" s="9495"/>
      <c r="AD73" s="9495"/>
      <c r="AE73" s="9495"/>
      <c r="AF73" s="9496"/>
      <c r="AG73" s="9494" t="str">
        <f>INDEX(PT_DIFFERENTIATION_TER,MATCH(B73,PT_DIFFERENTIATION_TER_ID,0))</f>
        <v>Территория 4</v>
      </c>
      <c r="AH73" s="9495"/>
      <c r="AI73" s="9495"/>
      <c r="AJ73" s="9495"/>
      <c r="AK73" s="9495"/>
      <c r="AL73" s="9495"/>
      <c r="AM73" s="9495"/>
      <c r="AN73" s="9495"/>
      <c r="AO73" s="9495"/>
      <c r="AP73" s="9495"/>
      <c r="AQ73" s="9495"/>
      <c r="AR73" s="9494"/>
      <c r="AS73" s="9495"/>
      <c r="AT73" s="9495"/>
      <c r="AU73" s="9495"/>
      <c r="AV73" s="9495"/>
      <c r="AW73" s="9495"/>
      <c r="AX73" s="9495"/>
      <c r="AY73" s="9495"/>
      <c r="AZ73" s="9495"/>
      <c r="BA73" s="9495"/>
      <c r="BB73" s="9496"/>
      <c r="BC73" s="9494"/>
      <c r="BD73" s="9495"/>
      <c r="BE73" s="9495"/>
      <c r="BF73" s="9495"/>
      <c r="BG73" s="9495"/>
      <c r="BH73" s="9495"/>
      <c r="BI73" s="9495"/>
      <c r="BJ73" s="9495"/>
      <c r="BK73" s="9495"/>
      <c r="BL73" s="9495"/>
      <c r="BM73" s="9496"/>
      <c r="BN73" s="9494"/>
      <c r="BO73" s="9495"/>
      <c r="BP73" s="9495"/>
      <c r="BQ73" s="9495"/>
      <c r="BR73" s="9495"/>
      <c r="BS73" s="9495"/>
      <c r="BT73" s="9495"/>
      <c r="BU73" s="9495"/>
      <c r="BV73" s="9495"/>
      <c r="BW73" s="9495"/>
      <c r="BX73" s="9496"/>
      <c r="BY73" s="9494"/>
      <c r="BZ73" s="9495"/>
      <c r="CA73" s="9495"/>
      <c r="CB73" s="9495"/>
      <c r="CC73" s="9495"/>
      <c r="CD73" s="9495"/>
      <c r="CE73" s="9495"/>
      <c r="CF73" s="9495"/>
      <c r="CG73" s="9495"/>
      <c r="CH73" s="9495"/>
      <c r="CI73" s="9496"/>
      <c r="CJ73" s="9494"/>
      <c r="CK73" s="9495"/>
      <c r="CL73" s="9495"/>
      <c r="CM73" s="9495"/>
      <c r="CN73" s="9495"/>
      <c r="CO73" s="9495"/>
      <c r="CP73" s="9495"/>
      <c r="CQ73" s="9495"/>
      <c r="CR73" s="9495"/>
      <c r="CS73" s="9495"/>
      <c r="CT73" s="10063"/>
      <c r="CU73" s="9494"/>
      <c r="CV73" s="9495"/>
      <c r="CW73" s="9495"/>
      <c r="CX73" s="9495"/>
      <c r="CY73" s="9495"/>
      <c r="CZ73" s="9495"/>
      <c r="DA73" s="9495"/>
      <c r="DB73" s="9495"/>
      <c r="DC73" s="9495"/>
      <c r="DD73" s="9495"/>
      <c r="DE73" s="9496"/>
      <c r="DF73" s="9494"/>
      <c r="DG73" s="9495"/>
      <c r="DH73" s="9495"/>
      <c r="DI73" s="9495"/>
      <c r="DJ73" s="9495"/>
      <c r="DK73" s="9495"/>
      <c r="DL73" s="9495"/>
      <c r="DM73" s="9495"/>
      <c r="DN73" s="9495"/>
      <c r="DO73" s="9495"/>
      <c r="DP73" s="9496"/>
      <c r="DQ73" s="9496"/>
      <c r="DR73" s="10064" t="s">
        <v>504</v>
      </c>
      <c r="DS73" s="9769"/>
      <c r="DT73" s="10065"/>
      <c r="DU73" s="10065" t="str">
        <f>IF(T73="","",T73)</f>
        <v>Территория действия тарифа</v>
      </c>
      <c r="DV73" s="10065"/>
      <c r="DW73" s="10065"/>
    </row>
    <row s="18159" customFormat="1" customHeight="1" ht="23.25">
      <c r="A74" s="10052"/>
      <c r="B74" s="10052"/>
      <c r="C74" s="10052" t="s">
        <v>316</v>
      </c>
      <c r="D74" s="10052"/>
      <c r="E74" s="10053"/>
      <c r="F74" s="10053" t="s">
        <v>86</v>
      </c>
      <c r="G74" s="10054">
        <v>1</v>
      </c>
      <c r="H74" s="10052"/>
      <c r="I74" s="10052"/>
      <c r="J74" s="10052"/>
      <c r="K74" s="10052"/>
      <c r="L74" s="10055"/>
      <c r="M74" s="10056"/>
      <c r="N74" s="10056"/>
      <c r="O74" s="10056"/>
      <c r="P74" s="10067"/>
      <c r="Q74" s="10058"/>
      <c r="R74" s="10059"/>
      <c r="S74" s="10060" t="str">
        <f>INDEX(PT_DIFFERENTIATION_NUM_CS,MATCH(C74,PT_DIFFERENTIATION_CS_ID,0))</f>
        <v>1.4.1</v>
      </c>
      <c r="T74" s="10068" t="s">
        <v>634</v>
      </c>
      <c r="U74" s="10062"/>
      <c r="V74" s="9494"/>
      <c r="W74" s="9495"/>
      <c r="X74" s="9495"/>
      <c r="Y74" s="9495"/>
      <c r="Z74" s="9495"/>
      <c r="AA74" s="9495"/>
      <c r="AB74" s="9495"/>
      <c r="AC74" s="9495"/>
      <c r="AD74" s="9495"/>
      <c r="AE74" s="9495"/>
      <c r="AF74" s="9496"/>
      <c r="AG74" s="9494" t="str">
        <f>INDEX(PT_DIFFERENTIATION_CS,MATCH(C74,PT_DIFFERENTIATION_CS_ID,0))</f>
        <v>с. Чугуевка</v>
      </c>
      <c r="AH74" s="9495"/>
      <c r="AI74" s="9495"/>
      <c r="AJ74" s="9495"/>
      <c r="AK74" s="9495"/>
      <c r="AL74" s="9495"/>
      <c r="AM74" s="9495"/>
      <c r="AN74" s="9495"/>
      <c r="AO74" s="9495"/>
      <c r="AP74" s="9495"/>
      <c r="AQ74" s="9495"/>
      <c r="AR74" s="9494"/>
      <c r="AS74" s="9495"/>
      <c r="AT74" s="9495"/>
      <c r="AU74" s="9495"/>
      <c r="AV74" s="9495"/>
      <c r="AW74" s="9495"/>
      <c r="AX74" s="9495"/>
      <c r="AY74" s="9495"/>
      <c r="AZ74" s="9495"/>
      <c r="BA74" s="9495"/>
      <c r="BB74" s="9496"/>
      <c r="BC74" s="9494"/>
      <c r="BD74" s="9495"/>
      <c r="BE74" s="9495"/>
      <c r="BF74" s="9495"/>
      <c r="BG74" s="9495"/>
      <c r="BH74" s="9495"/>
      <c r="BI74" s="9495"/>
      <c r="BJ74" s="9495"/>
      <c r="BK74" s="9495"/>
      <c r="BL74" s="9495"/>
      <c r="BM74" s="9496"/>
      <c r="BN74" s="9494"/>
      <c r="BO74" s="9495"/>
      <c r="BP74" s="9495"/>
      <c r="BQ74" s="9495"/>
      <c r="BR74" s="9495"/>
      <c r="BS74" s="9495"/>
      <c r="BT74" s="9495"/>
      <c r="BU74" s="9495"/>
      <c r="BV74" s="9495"/>
      <c r="BW74" s="9495"/>
      <c r="BX74" s="9496"/>
      <c r="BY74" s="9494"/>
      <c r="BZ74" s="9495"/>
      <c r="CA74" s="9495"/>
      <c r="CB74" s="9495"/>
      <c r="CC74" s="9495"/>
      <c r="CD74" s="9495"/>
      <c r="CE74" s="9495"/>
      <c r="CF74" s="9495"/>
      <c r="CG74" s="9495"/>
      <c r="CH74" s="9495"/>
      <c r="CI74" s="9496"/>
      <c r="CJ74" s="9494"/>
      <c r="CK74" s="9495"/>
      <c r="CL74" s="9495"/>
      <c r="CM74" s="9495"/>
      <c r="CN74" s="9495"/>
      <c r="CO74" s="9495"/>
      <c r="CP74" s="9495"/>
      <c r="CQ74" s="9495"/>
      <c r="CR74" s="9495"/>
      <c r="CS74" s="9495"/>
      <c r="CT74" s="10063"/>
      <c r="CU74" s="9494"/>
      <c r="CV74" s="9495"/>
      <c r="CW74" s="9495"/>
      <c r="CX74" s="9495"/>
      <c r="CY74" s="9495"/>
      <c r="CZ74" s="9495"/>
      <c r="DA74" s="9495"/>
      <c r="DB74" s="9495"/>
      <c r="DC74" s="9495"/>
      <c r="DD74" s="9495"/>
      <c r="DE74" s="9496"/>
      <c r="DF74" s="9494"/>
      <c r="DG74" s="9495"/>
      <c r="DH74" s="9495"/>
      <c r="DI74" s="9495"/>
      <c r="DJ74" s="9495"/>
      <c r="DK74" s="9495"/>
      <c r="DL74" s="9495"/>
      <c r="DM74" s="9495"/>
      <c r="DN74" s="9495"/>
      <c r="DO74" s="9495"/>
      <c r="DP74" s="9496"/>
      <c r="DQ74" s="9496"/>
      <c r="DR74" s="10064" t="s">
        <v>635</v>
      </c>
      <c r="DS74" s="9769"/>
      <c r="DT74" s="10065"/>
      <c r="DU74" s="10065" t="str">
        <f>IF(T74="","",T74)</f>
        <v>Наименование централизованной системы горячего водоснабжения</v>
      </c>
      <c r="DV74" s="10065"/>
      <c r="DW74" s="10065"/>
    </row>
    <row s="18160" customFormat="1" customHeight="1" ht="23.25">
      <c r="A75" s="10052"/>
      <c r="B75" s="10052"/>
      <c r="C75" s="10052"/>
      <c r="D75" s="10052"/>
      <c r="E75" s="10053"/>
      <c r="F75" s="10053" t="s">
        <v>86</v>
      </c>
      <c r="G75" s="10053"/>
      <c r="H75" s="10053"/>
      <c r="I75" s="10070" t="str">
        <f>S74&amp;".1"</f>
        <v>1.4.1.1</v>
      </c>
      <c r="J75" s="10052"/>
      <c r="K75" s="10052"/>
      <c r="L75" s="10055"/>
      <c r="M75" s="10071"/>
      <c r="N75" s="10071"/>
      <c r="O75" s="10071"/>
      <c r="P75" s="10072">
        <v>1</v>
      </c>
      <c r="Q75" s="10072"/>
      <c r="R75" s="10073"/>
      <c r="S75" s="10060" t="str">
        <f>$I75</f>
        <v>1.4.1.1</v>
      </c>
      <c r="T75" s="10074" t="s">
        <v>587</v>
      </c>
      <c r="U75" s="10062"/>
      <c r="V75" s="9500"/>
      <c r="W75" s="9501"/>
      <c r="X75" s="9501"/>
      <c r="Y75" s="9501"/>
      <c r="Z75" s="9501"/>
      <c r="AA75" s="9501"/>
      <c r="AB75" s="9501"/>
      <c r="AC75" s="9501"/>
      <c r="AD75" s="9501"/>
      <c r="AE75" s="9501"/>
      <c r="AF75" s="9502"/>
      <c r="AG75" s="10075"/>
      <c r="AH75" s="10076"/>
      <c r="AI75" s="10076"/>
      <c r="AJ75" s="10076"/>
      <c r="AK75" s="10076"/>
      <c r="AL75" s="10076"/>
      <c r="AM75" s="10076"/>
      <c r="AN75" s="10076"/>
      <c r="AO75" s="10076"/>
      <c r="AP75" s="10076"/>
      <c r="AQ75" s="10076"/>
      <c r="AR75" s="9500"/>
      <c r="AS75" s="9501"/>
      <c r="AT75" s="9501"/>
      <c r="AU75" s="9501"/>
      <c r="AV75" s="9501"/>
      <c r="AW75" s="9501"/>
      <c r="AX75" s="9501"/>
      <c r="AY75" s="9501"/>
      <c r="AZ75" s="9501"/>
      <c r="BA75" s="9501"/>
      <c r="BB75" s="9502"/>
      <c r="BC75" s="9500"/>
      <c r="BD75" s="9501"/>
      <c r="BE75" s="9501"/>
      <c r="BF75" s="9501"/>
      <c r="BG75" s="9501"/>
      <c r="BH75" s="9501"/>
      <c r="BI75" s="9501"/>
      <c r="BJ75" s="9501"/>
      <c r="BK75" s="9501"/>
      <c r="BL75" s="9501"/>
      <c r="BM75" s="9502"/>
      <c r="BN75" s="9500"/>
      <c r="BO75" s="9501"/>
      <c r="BP75" s="9501"/>
      <c r="BQ75" s="9501"/>
      <c r="BR75" s="9501"/>
      <c r="BS75" s="9501"/>
      <c r="BT75" s="9501"/>
      <c r="BU75" s="9501"/>
      <c r="BV75" s="9501"/>
      <c r="BW75" s="9501"/>
      <c r="BX75" s="9502"/>
      <c r="BY75" s="9500"/>
      <c r="BZ75" s="9501"/>
      <c r="CA75" s="9501"/>
      <c r="CB75" s="9501"/>
      <c r="CC75" s="9501"/>
      <c r="CD75" s="9501"/>
      <c r="CE75" s="9501"/>
      <c r="CF75" s="9501"/>
      <c r="CG75" s="9501"/>
      <c r="CH75" s="9501"/>
      <c r="CI75" s="9502"/>
      <c r="CJ75" s="9500"/>
      <c r="CK75" s="9501"/>
      <c r="CL75" s="9501"/>
      <c r="CM75" s="9501"/>
      <c r="CN75" s="9501"/>
      <c r="CO75" s="9501"/>
      <c r="CP75" s="9501"/>
      <c r="CQ75" s="9501"/>
      <c r="CR75" s="9501"/>
      <c r="CS75" s="9501"/>
      <c r="CT75" s="10077"/>
      <c r="CU75" s="9500"/>
      <c r="CV75" s="9501"/>
      <c r="CW75" s="9501"/>
      <c r="CX75" s="9501"/>
      <c r="CY75" s="9501"/>
      <c r="CZ75" s="9501"/>
      <c r="DA75" s="9501"/>
      <c r="DB75" s="9501"/>
      <c r="DC75" s="9501"/>
      <c r="DD75" s="9501"/>
      <c r="DE75" s="9502"/>
      <c r="DF75" s="9500"/>
      <c r="DG75" s="9501"/>
      <c r="DH75" s="9501"/>
      <c r="DI75" s="9501"/>
      <c r="DJ75" s="9501"/>
      <c r="DK75" s="9501"/>
      <c r="DL75" s="9501"/>
      <c r="DM75" s="9501"/>
      <c r="DN75" s="9501"/>
      <c r="DO75" s="9501"/>
      <c r="DP75" s="9502"/>
      <c r="DQ75" s="10078"/>
      <c r="DR75" s="10064" t="s">
        <v>588</v>
      </c>
      <c r="DS75" s="9769"/>
      <c r="DT75" s="10065"/>
      <c r="DU75" s="10065" t="str">
        <f>IF(T75="","",T75)</f>
        <v>Наименование признака дифференциации</v>
      </c>
      <c r="DV75" s="10065"/>
      <c r="DW75" s="10065"/>
    </row>
    <row s="18161" customFormat="1" customHeight="1" ht="23.25">
      <c r="A76" s="10052"/>
      <c r="B76" s="10052"/>
      <c r="C76" s="10052"/>
      <c r="D76" s="10052"/>
      <c r="E76" s="10053"/>
      <c r="F76" s="10053" t="s">
        <v>86</v>
      </c>
      <c r="G76" s="10053"/>
      <c r="H76" s="10053"/>
      <c r="I76" s="10080"/>
      <c r="J76" s="10070" t="str">
        <f>I75&amp;".1"</f>
        <v>1.4.1.1.1</v>
      </c>
      <c r="K76" s="10052"/>
      <c r="L76" s="10055" t="s">
        <v>512</v>
      </c>
      <c r="M76" s="10071"/>
      <c r="N76" s="10071"/>
      <c r="O76" s="10071"/>
      <c r="P76" s="10072"/>
      <c r="Q76" s="10072">
        <v>1</v>
      </c>
      <c r="R76" s="10081"/>
      <c r="S76" s="10060" t="str">
        <f>$J76</f>
        <v>1.4.1.1.1</v>
      </c>
      <c r="T76" s="10082" t="s">
        <v>513</v>
      </c>
      <c r="U76" s="10062"/>
      <c r="V76" s="9506"/>
      <c r="W76" s="9507"/>
      <c r="X76" s="9507"/>
      <c r="Y76" s="9507"/>
      <c r="Z76" s="9507"/>
      <c r="AA76" s="9507"/>
      <c r="AB76" s="9507"/>
      <c r="AC76" s="9507"/>
      <c r="AD76" s="9507"/>
      <c r="AE76" s="9507"/>
      <c r="AF76" s="9508"/>
      <c r="AG76" s="9506" t="s">
        <v>647</v>
      </c>
      <c r="AH76" s="9507"/>
      <c r="AI76" s="9507"/>
      <c r="AJ76" s="9507"/>
      <c r="AK76" s="9507"/>
      <c r="AL76" s="9507"/>
      <c r="AM76" s="9507"/>
      <c r="AN76" s="9507"/>
      <c r="AO76" s="9507"/>
      <c r="AP76" s="9507"/>
      <c r="AQ76" s="9507"/>
      <c r="AR76" s="9506"/>
      <c r="AS76" s="9507"/>
      <c r="AT76" s="9507"/>
      <c r="AU76" s="9507"/>
      <c r="AV76" s="9507"/>
      <c r="AW76" s="9507"/>
      <c r="AX76" s="9507"/>
      <c r="AY76" s="9507"/>
      <c r="AZ76" s="9507"/>
      <c r="BA76" s="9507"/>
      <c r="BB76" s="9508"/>
      <c r="BC76" s="9506"/>
      <c r="BD76" s="9507"/>
      <c r="BE76" s="9507"/>
      <c r="BF76" s="9507"/>
      <c r="BG76" s="9507"/>
      <c r="BH76" s="9507"/>
      <c r="BI76" s="9507"/>
      <c r="BJ76" s="9507"/>
      <c r="BK76" s="9507"/>
      <c r="BL76" s="9507"/>
      <c r="BM76" s="9508"/>
      <c r="BN76" s="9506"/>
      <c r="BO76" s="9507"/>
      <c r="BP76" s="9507"/>
      <c r="BQ76" s="9507"/>
      <c r="BR76" s="9507"/>
      <c r="BS76" s="9507"/>
      <c r="BT76" s="9507"/>
      <c r="BU76" s="9507"/>
      <c r="BV76" s="9507"/>
      <c r="BW76" s="9507"/>
      <c r="BX76" s="9508"/>
      <c r="BY76" s="9506"/>
      <c r="BZ76" s="9507"/>
      <c r="CA76" s="9507"/>
      <c r="CB76" s="9507"/>
      <c r="CC76" s="9507"/>
      <c r="CD76" s="9507"/>
      <c r="CE76" s="9507"/>
      <c r="CF76" s="9507"/>
      <c r="CG76" s="9507"/>
      <c r="CH76" s="9507"/>
      <c r="CI76" s="9508"/>
      <c r="CJ76" s="9506"/>
      <c r="CK76" s="9507"/>
      <c r="CL76" s="9507"/>
      <c r="CM76" s="9507"/>
      <c r="CN76" s="9507"/>
      <c r="CO76" s="9507"/>
      <c r="CP76" s="9507"/>
      <c r="CQ76" s="9507"/>
      <c r="CR76" s="9507"/>
      <c r="CS76" s="9507"/>
      <c r="CT76" s="10083"/>
      <c r="CU76" s="9506"/>
      <c r="CV76" s="9507"/>
      <c r="CW76" s="9507"/>
      <c r="CX76" s="9507"/>
      <c r="CY76" s="9507"/>
      <c r="CZ76" s="9507"/>
      <c r="DA76" s="9507"/>
      <c r="DB76" s="9507"/>
      <c r="DC76" s="9507"/>
      <c r="DD76" s="9507"/>
      <c r="DE76" s="9508"/>
      <c r="DF76" s="9506"/>
      <c r="DG76" s="9507"/>
      <c r="DH76" s="9507"/>
      <c r="DI76" s="9507"/>
      <c r="DJ76" s="9507"/>
      <c r="DK76" s="9507"/>
      <c r="DL76" s="9507"/>
      <c r="DM76" s="9507"/>
      <c r="DN76" s="9507"/>
      <c r="DO76" s="9507"/>
      <c r="DP76" s="9508"/>
      <c r="DQ76" s="9508"/>
      <c r="DR76" s="10084" t="s">
        <v>589</v>
      </c>
      <c r="DS76" s="9769"/>
      <c r="DT76" s="10065"/>
      <c r="DU76" s="10065" t="str">
        <f>IF(T76="","",T76)</f>
        <v>Группа потребителей</v>
      </c>
      <c r="DV76" s="10065"/>
      <c r="DW76" s="10065"/>
    </row>
    <row s="18162" customFormat="1" customHeight="1" ht="23.25">
      <c r="A77" s="10052"/>
      <c r="B77" s="10052"/>
      <c r="C77" s="10052"/>
      <c r="D77" s="10052"/>
      <c r="E77" s="10053"/>
      <c r="F77" s="10053" t="s">
        <v>86</v>
      </c>
      <c r="G77" s="10053"/>
      <c r="H77" s="10053"/>
      <c r="I77" s="10080"/>
      <c r="J77" s="10080"/>
      <c r="K77" s="10070" t="str">
        <f>J76&amp;".1"</f>
        <v>1.4.1.1.1.1</v>
      </c>
      <c r="L77" s="10055"/>
      <c r="M77" s="10071"/>
      <c r="N77" s="10071"/>
      <c r="O77" s="10071"/>
      <c r="P77" s="10072"/>
      <c r="Q77" s="10072"/>
      <c r="R77" s="10081">
        <v>1</v>
      </c>
      <c r="S77" s="10060" t="str">
        <f>$K77</f>
        <v>1.4.1.1.1.1</v>
      </c>
      <c r="T77" s="10086"/>
      <c r="U77" s="10062"/>
      <c r="V77" s="9512"/>
      <c r="W77" s="9512"/>
      <c r="X77" s="9512"/>
      <c r="Y77" s="9512"/>
      <c r="Z77" s="9512"/>
      <c r="AA77" s="9512"/>
      <c r="AB77" s="9512"/>
      <c r="AC77" s="9513"/>
      <c r="AD77" s="9514" t="s">
        <v>63</v>
      </c>
      <c r="AE77" s="9513"/>
      <c r="AF77" s="9514" t="s">
        <v>63</v>
      </c>
      <c r="AG77" s="9512">
        <v>455.51</v>
      </c>
      <c r="AH77" s="9512"/>
      <c r="AI77" s="9512"/>
      <c r="AJ77" s="9512"/>
      <c r="AK77" s="9512"/>
      <c r="AL77" s="9512"/>
      <c r="AM77" s="9512"/>
      <c r="AN77" s="9513">
        <v>45658.53207175926</v>
      </c>
      <c r="AO77" s="9514" t="s">
        <v>63</v>
      </c>
      <c r="AP77" s="9817">
        <v>45838.53219907408</v>
      </c>
      <c r="AQ77" s="9514" t="s">
        <v>63</v>
      </c>
      <c r="AR77" s="9512">
        <v>626.74</v>
      </c>
      <c r="AS77" s="9512"/>
      <c r="AT77" s="9512"/>
      <c r="AU77" s="9512"/>
      <c r="AV77" s="9512"/>
      <c r="AW77" s="9512"/>
      <c r="AX77" s="9512"/>
      <c r="AY77" s="9513">
        <v>45839.53233796296</v>
      </c>
      <c r="AZ77" s="9514" t="s">
        <v>63</v>
      </c>
      <c r="BA77" s="9513">
        <v>46022.5325</v>
      </c>
      <c r="BB77" s="9514" t="s">
        <v>63</v>
      </c>
      <c r="BC77" s="9512">
        <v>626.74</v>
      </c>
      <c r="BD77" s="9512"/>
      <c r="BE77" s="9512"/>
      <c r="BF77" s="9512"/>
      <c r="BG77" s="9512"/>
      <c r="BH77" s="9512"/>
      <c r="BI77" s="9512"/>
      <c r="BJ77" s="9513">
        <v>46023.60052083333</v>
      </c>
      <c r="BK77" s="9514" t="s">
        <v>63</v>
      </c>
      <c r="BL77" s="9513">
        <v>46203.600625</v>
      </c>
      <c r="BM77" s="9514" t="s">
        <v>63</v>
      </c>
      <c r="BN77" s="9512">
        <v>651.82</v>
      </c>
      <c r="BO77" s="9512"/>
      <c r="BP77" s="9512"/>
      <c r="BQ77" s="9512"/>
      <c r="BR77" s="9512"/>
      <c r="BS77" s="9512"/>
      <c r="BT77" s="9512"/>
      <c r="BU77" s="9513">
        <v>46204.600810185184</v>
      </c>
      <c r="BV77" s="9514" t="s">
        <v>63</v>
      </c>
      <c r="BW77" s="9513">
        <v>46387.6009375</v>
      </c>
      <c r="BX77" s="9514" t="s">
        <v>63</v>
      </c>
      <c r="BY77" s="9512">
        <v>651.82</v>
      </c>
      <c r="BZ77" s="9512"/>
      <c r="CA77" s="9512"/>
      <c r="CB77" s="9512"/>
      <c r="CC77" s="9512"/>
      <c r="CD77" s="9512"/>
      <c r="CE77" s="9512"/>
      <c r="CF77" s="9513">
        <v>46388.60476851852</v>
      </c>
      <c r="CG77" s="9514" t="s">
        <v>63</v>
      </c>
      <c r="CH77" s="9513">
        <v>46568.60502314815</v>
      </c>
      <c r="CI77" s="9514" t="s">
        <v>63</v>
      </c>
      <c r="CJ77" s="9512">
        <v>677.89</v>
      </c>
      <c r="CK77" s="9512"/>
      <c r="CL77" s="9512"/>
      <c r="CM77" s="9512"/>
      <c r="CN77" s="9512"/>
      <c r="CO77" s="9512"/>
      <c r="CP77" s="9512"/>
      <c r="CQ77" s="9513">
        <v>46569.60532407407</v>
      </c>
      <c r="CR77" s="9514" t="s">
        <v>63</v>
      </c>
      <c r="CS77" s="9513">
        <v>46752.60543981481</v>
      </c>
      <c r="CT77" s="10087" t="s">
        <v>63</v>
      </c>
      <c r="CU77" s="9512">
        <v>677.89</v>
      </c>
      <c r="CV77" s="9512"/>
      <c r="CW77" s="9512"/>
      <c r="CX77" s="9512"/>
      <c r="CY77" s="9512"/>
      <c r="CZ77" s="9512"/>
      <c r="DA77" s="9512"/>
      <c r="DB77" s="9513">
        <v>46753.60564814815</v>
      </c>
      <c r="DC77" s="9514" t="s">
        <v>63</v>
      </c>
      <c r="DD77" s="9513">
        <v>46934.605787037035</v>
      </c>
      <c r="DE77" s="9514" t="s">
        <v>63</v>
      </c>
      <c r="DF77" s="9512">
        <v>705</v>
      </c>
      <c r="DG77" s="9512"/>
      <c r="DH77" s="9512"/>
      <c r="DI77" s="9512"/>
      <c r="DJ77" s="9512"/>
      <c r="DK77" s="9512"/>
      <c r="DL77" s="9512"/>
      <c r="DM77" s="9513">
        <v>46935.6059375</v>
      </c>
      <c r="DN77" s="9514" t="s">
        <v>63</v>
      </c>
      <c r="DO77" s="9513">
        <v>47118.606087962966</v>
      </c>
      <c r="DP77" s="9514" t="s">
        <v>63</v>
      </c>
      <c r="DQ77" s="10088"/>
      <c r="DR77" s="100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S77" s="9769">
        <f>STRCHECKDATE(V78:DQ78)</f>
      </c>
      <c r="DT77" s="10065"/>
      <c r="DU77" s="10065" t="str">
        <f>IF(T77="","",T77)</f>
        <v/>
      </c>
      <c r="DV77" s="10065"/>
      <c r="DW77" s="10065"/>
    </row>
    <row s="18163" customFormat="1" customHeight="1" ht="14.25">
      <c r="A78" s="10052"/>
      <c r="B78" s="10052"/>
      <c r="C78" s="10052"/>
      <c r="D78" s="10052"/>
      <c r="E78" s="10053"/>
      <c r="F78" s="10053" t="s">
        <v>86</v>
      </c>
      <c r="G78" s="10053"/>
      <c r="H78" s="10053"/>
      <c r="I78" s="10080"/>
      <c r="J78" s="10080"/>
      <c r="K78" s="10070"/>
      <c r="L78" s="10055"/>
      <c r="M78" s="10071"/>
      <c r="N78" s="10071"/>
      <c r="O78" s="10071"/>
      <c r="P78" s="10072"/>
      <c r="Q78" s="10072"/>
      <c r="R78" s="10081"/>
      <c r="S78" s="10091"/>
      <c r="T78" s="10062"/>
      <c r="U78" s="10062"/>
      <c r="V78" s="9517"/>
      <c r="W78" s="9517"/>
      <c r="X78" s="9517"/>
      <c r="Y78" s="9517"/>
      <c r="Z78" s="9517"/>
      <c r="AA78" s="9517"/>
      <c r="AB78" s="9517"/>
      <c r="AC78" s="9518"/>
      <c r="AD78" s="9514"/>
      <c r="AE78" s="9518"/>
      <c r="AF78" s="9514"/>
      <c r="AG78" s="9517"/>
      <c r="AH78" s="9517"/>
      <c r="AI78" s="9517"/>
      <c r="AJ78" s="9517"/>
      <c r="AK78" s="9517"/>
      <c r="AL78" s="9517"/>
      <c r="AM78" s="9517"/>
      <c r="AN78" s="9518"/>
      <c r="AO78" s="9514"/>
      <c r="AP78" s="9819"/>
      <c r="AQ78" s="9514"/>
      <c r="AR78" s="9517"/>
      <c r="AS78" s="9517"/>
      <c r="AT78" s="9517"/>
      <c r="AU78" s="9517"/>
      <c r="AV78" s="9517"/>
      <c r="AW78" s="9517"/>
      <c r="AX78" s="9517"/>
      <c r="AY78" s="9518"/>
      <c r="AZ78" s="9514"/>
      <c r="BA78" s="9518"/>
      <c r="BB78" s="9514"/>
      <c r="BC78" s="9517"/>
      <c r="BD78" s="9517"/>
      <c r="BE78" s="9517"/>
      <c r="BF78" s="9517"/>
      <c r="BG78" s="9517"/>
      <c r="BH78" s="9517"/>
      <c r="BI78" s="9517"/>
      <c r="BJ78" s="9518"/>
      <c r="BK78" s="9514"/>
      <c r="BL78" s="9518"/>
      <c r="BM78" s="9514"/>
      <c r="BN78" s="9517"/>
      <c r="BO78" s="9517"/>
      <c r="BP78" s="9517"/>
      <c r="BQ78" s="9517"/>
      <c r="BR78" s="9517"/>
      <c r="BS78" s="9517"/>
      <c r="BT78" s="9517"/>
      <c r="BU78" s="9518"/>
      <c r="BV78" s="9514"/>
      <c r="BW78" s="9518"/>
      <c r="BX78" s="9514"/>
      <c r="BY78" s="9517"/>
      <c r="BZ78" s="9517"/>
      <c r="CA78" s="9517"/>
      <c r="CB78" s="9517"/>
      <c r="CC78" s="9517"/>
      <c r="CD78" s="9517"/>
      <c r="CE78" s="9517"/>
      <c r="CF78" s="9518"/>
      <c r="CG78" s="9514"/>
      <c r="CH78" s="9518"/>
      <c r="CI78" s="9514"/>
      <c r="CJ78" s="9517"/>
      <c r="CK78" s="9517"/>
      <c r="CL78" s="9517"/>
      <c r="CM78" s="9517"/>
      <c r="CN78" s="9517"/>
      <c r="CO78" s="9517"/>
      <c r="CP78" s="9517"/>
      <c r="CQ78" s="9518"/>
      <c r="CR78" s="9514"/>
      <c r="CS78" s="9518"/>
      <c r="CT78" s="10087"/>
      <c r="CU78" s="9517"/>
      <c r="CV78" s="9517"/>
      <c r="CW78" s="9517"/>
      <c r="CX78" s="9517"/>
      <c r="CY78" s="9517"/>
      <c r="CZ78" s="9517"/>
      <c r="DA78" s="9517"/>
      <c r="DB78" s="9518"/>
      <c r="DC78" s="9514"/>
      <c r="DD78" s="9518"/>
      <c r="DE78" s="9514"/>
      <c r="DF78" s="9517"/>
      <c r="DG78" s="9517"/>
      <c r="DH78" s="9517"/>
      <c r="DI78" s="9517"/>
      <c r="DJ78" s="9517"/>
      <c r="DK78" s="9517"/>
      <c r="DL78" s="9517"/>
      <c r="DM78" s="9518"/>
      <c r="DN78" s="9514"/>
      <c r="DO78" s="9518"/>
      <c r="DP78" s="9514"/>
      <c r="DQ78" s="10092"/>
      <c r="DR78" s="10089"/>
      <c r="DS78" s="9769"/>
      <c r="DT78" s="10065"/>
      <c r="DU78" s="10065" t="str">
        <f>IF(T78="","",T78)</f>
        <v/>
      </c>
      <c r="DV78" s="10065"/>
      <c r="DW78" s="10065"/>
    </row>
    <row s="18164" customFormat="1" customHeight="1" ht="21">
      <c r="A79" s="10052"/>
      <c r="B79" s="10052"/>
      <c r="C79" s="10052"/>
      <c r="D79" s="10052"/>
      <c r="E79" s="10053"/>
      <c r="F79" s="10053" t="s">
        <v>86</v>
      </c>
      <c r="G79" s="10053"/>
      <c r="H79" s="10053"/>
      <c r="I79" s="10080"/>
      <c r="J79" s="10070"/>
      <c r="K79" s="10052"/>
      <c r="L79" s="10055"/>
      <c r="M79" s="10071"/>
      <c r="N79" s="10071"/>
      <c r="O79" s="10071"/>
      <c r="P79" s="10072"/>
      <c r="Q79" s="10072"/>
      <c r="R79" s="10073"/>
      <c r="S79" s="10747"/>
      <c r="T79" s="10748" t="s">
        <v>590</v>
      </c>
      <c r="U79" s="10749"/>
      <c r="V79" s="10750"/>
      <c r="W79" s="10751"/>
      <c r="X79" s="10752"/>
      <c r="Y79" s="10753"/>
      <c r="Z79" s="10754"/>
      <c r="AA79" s="10755"/>
      <c r="AB79" s="10756"/>
      <c r="AC79" s="10757"/>
      <c r="AD79" s="10758"/>
      <c r="AE79" s="10759"/>
      <c r="AF79" s="10760"/>
      <c r="AG79" s="10761"/>
      <c r="AH79" s="10762"/>
      <c r="AI79" s="10763"/>
      <c r="AJ79" s="10764"/>
      <c r="AK79" s="10765"/>
      <c r="AL79" s="10766"/>
      <c r="AM79" s="10767"/>
      <c r="AN79" s="10768"/>
      <c r="AO79" s="10769"/>
      <c r="AP79" s="10770"/>
      <c r="AQ79" s="10771"/>
      <c r="AR79" s="10772"/>
      <c r="AS79" s="10773"/>
      <c r="AT79" s="10774"/>
      <c r="AU79" s="10775"/>
      <c r="AV79" s="10776"/>
      <c r="AW79" s="10777"/>
      <c r="AX79" s="10778"/>
      <c r="AY79" s="10779"/>
      <c r="AZ79" s="10780"/>
      <c r="BA79" s="10781"/>
      <c r="BB79" s="10782"/>
      <c r="BC79" s="10783"/>
      <c r="BD79" s="10784"/>
      <c r="BE79" s="10785"/>
      <c r="BF79" s="10786"/>
      <c r="BG79" s="10787"/>
      <c r="BH79" s="10788"/>
      <c r="BI79" s="10789"/>
      <c r="BJ79" s="10790"/>
      <c r="BK79" s="10791"/>
      <c r="BL79" s="10792"/>
      <c r="BM79" s="10793"/>
      <c r="BN79" s="10794"/>
      <c r="BO79" s="10795"/>
      <c r="BP79" s="10796"/>
      <c r="BQ79" s="10797"/>
      <c r="BR79" s="10798"/>
      <c r="BS79" s="10799"/>
      <c r="BT79" s="10800"/>
      <c r="BU79" s="10801"/>
      <c r="BV79" s="10802"/>
      <c r="BW79" s="10803"/>
      <c r="BX79" s="10804"/>
      <c r="BY79" s="10805"/>
      <c r="BZ79" s="10806"/>
      <c r="CA79" s="10807"/>
      <c r="CB79" s="10808"/>
      <c r="CC79" s="10809"/>
      <c r="CD79" s="10810"/>
      <c r="CE79" s="10811"/>
      <c r="CF79" s="10812"/>
      <c r="CG79" s="10813"/>
      <c r="CH79" s="10814"/>
      <c r="CI79" s="10815"/>
      <c r="CJ79" s="10816"/>
      <c r="CK79" s="10817"/>
      <c r="CL79" s="10818"/>
      <c r="CM79" s="10819"/>
      <c r="CN79" s="10820"/>
      <c r="CO79" s="10821"/>
      <c r="CP79" s="10822"/>
      <c r="CQ79" s="10823"/>
      <c r="CR79" s="10824"/>
      <c r="CS79" s="10825"/>
      <c r="CT79" s="10826"/>
      <c r="CU79" s="10827"/>
      <c r="CV79" s="10828"/>
      <c r="CW79" s="10829"/>
      <c r="CX79" s="10830"/>
      <c r="CY79" s="10831"/>
      <c r="CZ79" s="10832"/>
      <c r="DA79" s="10833"/>
      <c r="DB79" s="10834"/>
      <c r="DC79" s="10835"/>
      <c r="DD79" s="10836"/>
      <c r="DE79" s="10837"/>
      <c r="DF79" s="10838"/>
      <c r="DG79" s="10839"/>
      <c r="DH79" s="10840"/>
      <c r="DI79" s="10841"/>
      <c r="DJ79" s="10842"/>
      <c r="DK79" s="10843"/>
      <c r="DL79" s="10844"/>
      <c r="DM79" s="10845"/>
      <c r="DN79" s="10846"/>
      <c r="DO79" s="10847"/>
      <c r="DP79" s="10848"/>
      <c r="DQ79" s="10849"/>
      <c r="DR79" s="10064" t="s">
        <v>591</v>
      </c>
      <c r="DS79" s="9769"/>
      <c r="DT79" s="10065"/>
      <c r="DU79" s="10065" t="str">
        <f>IF(T79="","",T79)</f>
        <v>Добавить значение признака дифференциации</v>
      </c>
      <c r="DV79" s="10065"/>
      <c r="DW79" s="10065"/>
    </row>
    <row s="18268" customFormat="1" customHeight="1" ht="21">
      <c r="A80" s="10052"/>
      <c r="B80" s="10052"/>
      <c r="C80" s="10052"/>
      <c r="D80" s="10052"/>
      <c r="E80" s="10053"/>
      <c r="F80" s="10053" t="s">
        <v>86</v>
      </c>
      <c r="G80" s="10053"/>
      <c r="H80" s="10053"/>
      <c r="I80" s="10070"/>
      <c r="J80" s="10052"/>
      <c r="K80" s="10052"/>
      <c r="L80" s="10055"/>
      <c r="M80" s="10071"/>
      <c r="N80" s="10071"/>
      <c r="O80" s="10071"/>
      <c r="P80" s="10072"/>
      <c r="Q80" s="10072"/>
      <c r="R80" s="10073"/>
      <c r="S80" s="10851"/>
      <c r="T80" s="10852" t="s">
        <v>518</v>
      </c>
      <c r="U80" s="10853"/>
      <c r="V80" s="10854"/>
      <c r="W80" s="10855"/>
      <c r="X80" s="10856"/>
      <c r="Y80" s="10857"/>
      <c r="Z80" s="10858"/>
      <c r="AA80" s="10859"/>
      <c r="AB80" s="10860"/>
      <c r="AC80" s="10861"/>
      <c r="AD80" s="10862"/>
      <c r="AE80" s="10863"/>
      <c r="AF80" s="10864"/>
      <c r="AG80" s="10865"/>
      <c r="AH80" s="10866"/>
      <c r="AI80" s="10867"/>
      <c r="AJ80" s="10868"/>
      <c r="AK80" s="10869"/>
      <c r="AL80" s="10870"/>
      <c r="AM80" s="10871"/>
      <c r="AN80" s="10872"/>
      <c r="AO80" s="10873"/>
      <c r="AP80" s="10874"/>
      <c r="AQ80" s="10875"/>
      <c r="AR80" s="10876"/>
      <c r="AS80" s="10877"/>
      <c r="AT80" s="10878"/>
      <c r="AU80" s="10879"/>
      <c r="AV80" s="10880"/>
      <c r="AW80" s="10881"/>
      <c r="AX80" s="10882"/>
      <c r="AY80" s="10883"/>
      <c r="AZ80" s="10884"/>
      <c r="BA80" s="10885"/>
      <c r="BB80" s="10886"/>
      <c r="BC80" s="10887"/>
      <c r="BD80" s="10888"/>
      <c r="BE80" s="10889"/>
      <c r="BF80" s="10890"/>
      <c r="BG80" s="10891"/>
      <c r="BH80" s="10892"/>
      <c r="BI80" s="10893"/>
      <c r="BJ80" s="10894"/>
      <c r="BK80" s="10895"/>
      <c r="BL80" s="10896"/>
      <c r="BM80" s="10897"/>
      <c r="BN80" s="10898"/>
      <c r="BO80" s="10899"/>
      <c r="BP80" s="10900"/>
      <c r="BQ80" s="10901"/>
      <c r="BR80" s="10902"/>
      <c r="BS80" s="10903"/>
      <c r="BT80" s="10904"/>
      <c r="BU80" s="10905"/>
      <c r="BV80" s="10906"/>
      <c r="BW80" s="10907"/>
      <c r="BX80" s="10908"/>
      <c r="BY80" s="10909"/>
      <c r="BZ80" s="10910"/>
      <c r="CA80" s="10911"/>
      <c r="CB80" s="10912"/>
      <c r="CC80" s="10913"/>
      <c r="CD80" s="10914"/>
      <c r="CE80" s="10915"/>
      <c r="CF80" s="10916"/>
      <c r="CG80" s="10917"/>
      <c r="CH80" s="10918"/>
      <c r="CI80" s="10919"/>
      <c r="CJ80" s="10920"/>
      <c r="CK80" s="10921"/>
      <c r="CL80" s="10922"/>
      <c r="CM80" s="10923"/>
      <c r="CN80" s="10924"/>
      <c r="CO80" s="10925"/>
      <c r="CP80" s="10926"/>
      <c r="CQ80" s="10927"/>
      <c r="CR80" s="10928"/>
      <c r="CS80" s="10929"/>
      <c r="CT80" s="10930"/>
      <c r="CU80" s="10931"/>
      <c r="CV80" s="10932"/>
      <c r="CW80" s="10933"/>
      <c r="CX80" s="10934"/>
      <c r="CY80" s="10935"/>
      <c r="CZ80" s="10936"/>
      <c r="DA80" s="10937"/>
      <c r="DB80" s="10938"/>
      <c r="DC80" s="10939"/>
      <c r="DD80" s="10940"/>
      <c r="DE80" s="10941"/>
      <c r="DF80" s="10942"/>
      <c r="DG80" s="10943"/>
      <c r="DH80" s="10944"/>
      <c r="DI80" s="10945"/>
      <c r="DJ80" s="10946"/>
      <c r="DK80" s="10947"/>
      <c r="DL80" s="10948"/>
      <c r="DM80" s="10949"/>
      <c r="DN80" s="10950"/>
      <c r="DO80" s="10951"/>
      <c r="DP80" s="10952"/>
      <c r="DQ80" s="10953"/>
      <c r="DR80" s="10954"/>
      <c r="DS80" s="9769"/>
      <c r="DT80" s="10065"/>
      <c r="DU80" s="10065" t="str">
        <f>IF(T80="","",T80)</f>
        <v>Добавить группу потребителей</v>
      </c>
      <c r="DV80" s="10065"/>
      <c r="DW80" s="10065"/>
    </row>
    <row s="18373" customFormat="1" customHeight="1" ht="21">
      <c r="A81" s="10052"/>
      <c r="B81" s="10052"/>
      <c r="C81" s="10052"/>
      <c r="D81" s="10052"/>
      <c r="E81" s="10053"/>
      <c r="F81" s="10053" t="s">
        <v>86</v>
      </c>
      <c r="G81" s="10053"/>
      <c r="H81" s="10054"/>
      <c r="I81" s="10052"/>
      <c r="J81" s="10052"/>
      <c r="K81" s="10052"/>
      <c r="L81" s="10055"/>
      <c r="M81" s="10056"/>
      <c r="N81" s="10056"/>
      <c r="O81" s="9754"/>
      <c r="P81" s="10303"/>
      <c r="Q81" s="10304"/>
      <c r="R81" s="10305"/>
      <c r="S81" s="10956"/>
      <c r="T81" s="10957" t="s">
        <v>592</v>
      </c>
      <c r="U81" s="10958"/>
      <c r="V81" s="10959"/>
      <c r="W81" s="10960"/>
      <c r="X81" s="10961"/>
      <c r="Y81" s="10962"/>
      <c r="Z81" s="10963"/>
      <c r="AA81" s="10964"/>
      <c r="AB81" s="10965"/>
      <c r="AC81" s="10966"/>
      <c r="AD81" s="10967"/>
      <c r="AE81" s="10968"/>
      <c r="AF81" s="10969"/>
      <c r="AG81" s="10970"/>
      <c r="AH81" s="10971"/>
      <c r="AI81" s="10972"/>
      <c r="AJ81" s="10973"/>
      <c r="AK81" s="10974"/>
      <c r="AL81" s="10975"/>
      <c r="AM81" s="10976"/>
      <c r="AN81" s="10977"/>
      <c r="AO81" s="10978"/>
      <c r="AP81" s="10979"/>
      <c r="AQ81" s="10980"/>
      <c r="AR81" s="10981"/>
      <c r="AS81" s="10982"/>
      <c r="AT81" s="10983"/>
      <c r="AU81" s="10984"/>
      <c r="AV81" s="10985"/>
      <c r="AW81" s="10986"/>
      <c r="AX81" s="10987"/>
      <c r="AY81" s="10988"/>
      <c r="AZ81" s="10989"/>
      <c r="BA81" s="10990"/>
      <c r="BB81" s="10991"/>
      <c r="BC81" s="10992"/>
      <c r="BD81" s="10993"/>
      <c r="BE81" s="10994"/>
      <c r="BF81" s="10995"/>
      <c r="BG81" s="10996"/>
      <c r="BH81" s="10997"/>
      <c r="BI81" s="10998"/>
      <c r="BJ81" s="10999"/>
      <c r="BK81" s="11000"/>
      <c r="BL81" s="11001"/>
      <c r="BM81" s="11002"/>
      <c r="BN81" s="11003"/>
      <c r="BO81" s="11004"/>
      <c r="BP81" s="11005"/>
      <c r="BQ81" s="11006"/>
      <c r="BR81" s="11007"/>
      <c r="BS81" s="11008"/>
      <c r="BT81" s="11009"/>
      <c r="BU81" s="11010"/>
      <c r="BV81" s="11011"/>
      <c r="BW81" s="11012"/>
      <c r="BX81" s="11013"/>
      <c r="BY81" s="11014"/>
      <c r="BZ81" s="11015"/>
      <c r="CA81" s="11016"/>
      <c r="CB81" s="11017"/>
      <c r="CC81" s="11018"/>
      <c r="CD81" s="11019"/>
      <c r="CE81" s="11020"/>
      <c r="CF81" s="11021"/>
      <c r="CG81" s="11022"/>
      <c r="CH81" s="11023"/>
      <c r="CI81" s="11024"/>
      <c r="CJ81" s="11025"/>
      <c r="CK81" s="11026"/>
      <c r="CL81" s="11027"/>
      <c r="CM81" s="11028"/>
      <c r="CN81" s="11029"/>
      <c r="CO81" s="11030"/>
      <c r="CP81" s="11031"/>
      <c r="CQ81" s="11032"/>
      <c r="CR81" s="11033"/>
      <c r="CS81" s="11034"/>
      <c r="CT81" s="11035"/>
      <c r="CU81" s="11036"/>
      <c r="CV81" s="11037"/>
      <c r="CW81" s="11038"/>
      <c r="CX81" s="11039"/>
      <c r="CY81" s="11040"/>
      <c r="CZ81" s="11041"/>
      <c r="DA81" s="11042"/>
      <c r="DB81" s="11043"/>
      <c r="DC81" s="11044"/>
      <c r="DD81" s="11045"/>
      <c r="DE81" s="11046"/>
      <c r="DF81" s="11047"/>
      <c r="DG81" s="11048"/>
      <c r="DH81" s="11049"/>
      <c r="DI81" s="11050"/>
      <c r="DJ81" s="11051"/>
      <c r="DK81" s="11052"/>
      <c r="DL81" s="11053"/>
      <c r="DM81" s="11054"/>
      <c r="DN81" s="11055"/>
      <c r="DO81" s="11056"/>
      <c r="DP81" s="11057"/>
      <c r="DQ81" s="11058"/>
      <c r="DR81" s="11059"/>
      <c r="DS81" s="9769"/>
      <c r="DT81" s="10065"/>
      <c r="DU81" s="10065" t="str">
        <f>IF(T81="","",T81)</f>
        <v>Добавить наименование признака дифференциации</v>
      </c>
      <c r="DV81" s="10065"/>
      <c r="DW81" s="10065"/>
    </row>
    <row s="18478" customFormat="1" customHeight="1" ht="14.25">
      <c r="A82" s="10411"/>
      <c r="B82" s="10411"/>
      <c r="C82" s="10411"/>
      <c r="D82" s="10411"/>
      <c r="E82" s="10053"/>
      <c r="F82" s="10054" t="s">
        <v>86</v>
      </c>
      <c r="G82" s="10411"/>
      <c r="H82" s="10411"/>
      <c r="I82" s="10411"/>
      <c r="J82" s="10411"/>
      <c r="K82" s="10411"/>
      <c r="L82" s="10412"/>
      <c r="M82" s="10413"/>
      <c r="N82" s="10413"/>
      <c r="O82" s="9769"/>
      <c r="P82" s="10414"/>
      <c r="Q82" s="10415"/>
      <c r="R82" s="10414"/>
      <c r="S82" s="10416"/>
      <c r="T82" s="10417" t="s">
        <v>305</v>
      </c>
      <c r="U82" s="9751"/>
      <c r="V82" s="9751"/>
      <c r="W82" s="9751"/>
      <c r="X82" s="9751"/>
      <c r="Y82" s="9751"/>
      <c r="Z82" s="9751"/>
      <c r="AA82" s="9751"/>
      <c r="AB82" s="9751"/>
      <c r="AC82" s="9751"/>
      <c r="AD82" s="9751"/>
      <c r="AE82" s="9751"/>
      <c r="AF82" s="9751"/>
      <c r="AG82" s="9751"/>
      <c r="AH82" s="9751"/>
      <c r="AI82" s="9751"/>
      <c r="AJ82" s="9751"/>
      <c r="AK82" s="9751"/>
      <c r="AL82" s="9751"/>
      <c r="AM82" s="9751"/>
      <c r="AN82" s="9751"/>
      <c r="AO82" s="9751"/>
      <c r="AP82" s="9751"/>
      <c r="AQ82" s="9751"/>
      <c r="AR82" s="9751"/>
      <c r="AS82" s="9751"/>
      <c r="AT82" s="9751"/>
      <c r="AU82" s="9751"/>
      <c r="AV82" s="9751"/>
      <c r="AW82" s="9751"/>
      <c r="AX82" s="9751"/>
      <c r="AY82" s="9751"/>
      <c r="AZ82" s="9751"/>
      <c r="BA82" s="9751"/>
      <c r="BB82" s="9751"/>
      <c r="BC82" s="9751"/>
      <c r="BD82" s="9751"/>
      <c r="BE82" s="9751"/>
      <c r="BF82" s="9751"/>
      <c r="BG82" s="9751"/>
      <c r="BH82" s="9751"/>
      <c r="BI82" s="9751"/>
      <c r="BJ82" s="9751"/>
      <c r="BK82" s="9751"/>
      <c r="BL82" s="9751"/>
      <c r="BM82" s="9751"/>
      <c r="BN82" s="9751"/>
      <c r="BO82" s="9751"/>
      <c r="BP82" s="9751"/>
      <c r="BQ82" s="9751"/>
      <c r="BR82" s="9751"/>
      <c r="BS82" s="9751"/>
      <c r="BT82" s="9751"/>
      <c r="BU82" s="9751"/>
      <c r="BV82" s="9751"/>
      <c r="BW82" s="9751"/>
      <c r="BX82" s="9751"/>
      <c r="BY82" s="9751"/>
      <c r="BZ82" s="9751"/>
      <c r="CA82" s="9751"/>
      <c r="CB82" s="9751"/>
      <c r="CC82" s="9751"/>
      <c r="CD82" s="9751"/>
      <c r="CE82" s="9751"/>
      <c r="CF82" s="9751"/>
      <c r="CG82" s="9751"/>
      <c r="CH82" s="9751"/>
      <c r="CI82" s="9751"/>
      <c r="CJ82" s="9751"/>
      <c r="CK82" s="9751"/>
      <c r="CL82" s="9751"/>
      <c r="CM82" s="9751"/>
      <c r="CN82" s="9751"/>
      <c r="CO82" s="9751"/>
      <c r="CP82" s="9751"/>
      <c r="CQ82" s="9751"/>
      <c r="CR82" s="9751"/>
      <c r="CS82" s="9751"/>
      <c r="CT82" s="10418"/>
      <c r="CU82" s="9751"/>
      <c r="CV82" s="9751"/>
      <c r="CW82" s="9751"/>
      <c r="CX82" s="9751"/>
      <c r="CY82" s="9751"/>
      <c r="CZ82" s="9751"/>
      <c r="DA82" s="9751"/>
      <c r="DB82" s="9751"/>
      <c r="DC82" s="9751"/>
      <c r="DD82" s="9751"/>
      <c r="DE82" s="9751"/>
      <c r="DF82" s="9751"/>
      <c r="DG82" s="9751"/>
      <c r="DH82" s="9751"/>
      <c r="DI82" s="9751"/>
      <c r="DJ82" s="9751"/>
      <c r="DK82" s="9751"/>
      <c r="DL82" s="9751"/>
      <c r="DM82" s="9751"/>
      <c r="DN82" s="9751"/>
      <c r="DO82" s="9751"/>
      <c r="DP82" s="9751"/>
      <c r="DQ82" s="9751"/>
      <c r="DR82" s="9751"/>
      <c r="DS82" s="9769"/>
      <c r="DT82" s="10065"/>
      <c r="DU82" s="10065" t="str">
        <f>IF(T82="","",T82)</f>
        <v>Добавить централизованную систему для дифференциации</v>
      </c>
      <c r="DV82" s="10065"/>
      <c r="DW82" s="10065"/>
    </row>
    <row s="18479" customFormat="1" customHeight="1" ht="23.25">
      <c r="A83" s="10052"/>
      <c r="B83" s="10052" t="s">
        <v>319</v>
      </c>
      <c r="C83" s="10052"/>
      <c r="D83" s="10052"/>
      <c r="E83" s="10053"/>
      <c r="F83" s="10054" t="s">
        <v>113</v>
      </c>
      <c r="G83" s="10052"/>
      <c r="H83" s="10052"/>
      <c r="I83" s="10052"/>
      <c r="J83" s="10052"/>
      <c r="K83" s="10052"/>
      <c r="L83" s="10055"/>
      <c r="M83" s="10056"/>
      <c r="N83" s="10056"/>
      <c r="O83" s="10056"/>
      <c r="P83" s="10057"/>
      <c r="Q83" s="10058"/>
      <c r="R83" s="10059"/>
      <c r="S83" s="10060" t="str">
        <f>INDEX(PT_DIFFERENTIATION_NUM_TER,MATCH(B83,PT_DIFFERENTIATION_TER_ID,0))</f>
        <v>1.5</v>
      </c>
      <c r="T83" s="10061" t="s">
        <v>503</v>
      </c>
      <c r="U83" s="10062"/>
      <c r="V83" s="9494"/>
      <c r="W83" s="9495"/>
      <c r="X83" s="9495"/>
      <c r="Y83" s="9495"/>
      <c r="Z83" s="9495"/>
      <c r="AA83" s="9495"/>
      <c r="AB83" s="9495"/>
      <c r="AC83" s="9495"/>
      <c r="AD83" s="9495"/>
      <c r="AE83" s="9495"/>
      <c r="AF83" s="9496"/>
      <c r="AG83" s="9494" t="str">
        <f>INDEX(PT_DIFFERENTIATION_TER,MATCH(B83,PT_DIFFERENTIATION_TER_ID,0))</f>
        <v>Территория 5</v>
      </c>
      <c r="AH83" s="9495"/>
      <c r="AI83" s="9495"/>
      <c r="AJ83" s="9495"/>
      <c r="AK83" s="9495"/>
      <c r="AL83" s="9495"/>
      <c r="AM83" s="9495"/>
      <c r="AN83" s="9495"/>
      <c r="AO83" s="9495"/>
      <c r="AP83" s="9495"/>
      <c r="AQ83" s="9495"/>
      <c r="AR83" s="9494"/>
      <c r="AS83" s="9495"/>
      <c r="AT83" s="9495"/>
      <c r="AU83" s="9495"/>
      <c r="AV83" s="9495"/>
      <c r="AW83" s="9495"/>
      <c r="AX83" s="9495"/>
      <c r="AY83" s="9495"/>
      <c r="AZ83" s="9495"/>
      <c r="BA83" s="9495"/>
      <c r="BB83" s="9496"/>
      <c r="BC83" s="9494"/>
      <c r="BD83" s="9495"/>
      <c r="BE83" s="9495"/>
      <c r="BF83" s="9495"/>
      <c r="BG83" s="9495"/>
      <c r="BH83" s="9495"/>
      <c r="BI83" s="9495"/>
      <c r="BJ83" s="9495"/>
      <c r="BK83" s="9495"/>
      <c r="BL83" s="9495"/>
      <c r="BM83" s="9496"/>
      <c r="BN83" s="9494"/>
      <c r="BO83" s="9495"/>
      <c r="BP83" s="9495"/>
      <c r="BQ83" s="9495"/>
      <c r="BR83" s="9495"/>
      <c r="BS83" s="9495"/>
      <c r="BT83" s="9495"/>
      <c r="BU83" s="9495"/>
      <c r="BV83" s="9495"/>
      <c r="BW83" s="9495"/>
      <c r="BX83" s="9496"/>
      <c r="BY83" s="9494"/>
      <c r="BZ83" s="9495"/>
      <c r="CA83" s="9495"/>
      <c r="CB83" s="9495"/>
      <c r="CC83" s="9495"/>
      <c r="CD83" s="9495"/>
      <c r="CE83" s="9495"/>
      <c r="CF83" s="9495"/>
      <c r="CG83" s="9495"/>
      <c r="CH83" s="9495"/>
      <c r="CI83" s="9496"/>
      <c r="CJ83" s="9494"/>
      <c r="CK83" s="9495"/>
      <c r="CL83" s="9495"/>
      <c r="CM83" s="9495"/>
      <c r="CN83" s="9495"/>
      <c r="CO83" s="9495"/>
      <c r="CP83" s="9495"/>
      <c r="CQ83" s="9495"/>
      <c r="CR83" s="9495"/>
      <c r="CS83" s="9495"/>
      <c r="CT83" s="10063"/>
      <c r="CU83" s="9494"/>
      <c r="CV83" s="9495"/>
      <c r="CW83" s="9495"/>
      <c r="CX83" s="9495"/>
      <c r="CY83" s="9495"/>
      <c r="CZ83" s="9495"/>
      <c r="DA83" s="9495"/>
      <c r="DB83" s="9495"/>
      <c r="DC83" s="9495"/>
      <c r="DD83" s="9495"/>
      <c r="DE83" s="9496"/>
      <c r="DF83" s="9494"/>
      <c r="DG83" s="9495"/>
      <c r="DH83" s="9495"/>
      <c r="DI83" s="9495"/>
      <c r="DJ83" s="9495"/>
      <c r="DK83" s="9495"/>
      <c r="DL83" s="9495"/>
      <c r="DM83" s="9495"/>
      <c r="DN83" s="9495"/>
      <c r="DO83" s="9495"/>
      <c r="DP83" s="9496"/>
      <c r="DQ83" s="9496"/>
      <c r="DR83" s="10064" t="s">
        <v>504</v>
      </c>
      <c r="DS83" s="9769"/>
      <c r="DT83" s="10065"/>
      <c r="DU83" s="10065" t="str">
        <f>IF(T83="","",T83)</f>
        <v>Территория действия тарифа</v>
      </c>
      <c r="DV83" s="10065"/>
      <c r="DW83" s="10065"/>
    </row>
    <row s="18480" customFormat="1" customHeight="1" ht="23.25">
      <c r="A84" s="10052"/>
      <c r="B84" s="10052"/>
      <c r="C84" s="10052" t="s">
        <v>320</v>
      </c>
      <c r="D84" s="10052"/>
      <c r="E84" s="10053"/>
      <c r="F84" s="10053" t="s">
        <v>87</v>
      </c>
      <c r="G84" s="10054">
        <v>1</v>
      </c>
      <c r="H84" s="10052"/>
      <c r="I84" s="10052"/>
      <c r="J84" s="10052"/>
      <c r="K84" s="10052"/>
      <c r="L84" s="10055"/>
      <c r="M84" s="10056"/>
      <c r="N84" s="10056"/>
      <c r="O84" s="10056"/>
      <c r="P84" s="10067"/>
      <c r="Q84" s="10058"/>
      <c r="R84" s="10059"/>
      <c r="S84" s="10060" t="str">
        <f>INDEX(PT_DIFFERENTIATION_NUM_CS,MATCH(C84,PT_DIFFERENTIATION_CS_ID,0))</f>
        <v>1.5.1</v>
      </c>
      <c r="T84" s="10068" t="s">
        <v>634</v>
      </c>
      <c r="U84" s="10062"/>
      <c r="V84" s="9494"/>
      <c r="W84" s="9495"/>
      <c r="X84" s="9495"/>
      <c r="Y84" s="9495"/>
      <c r="Z84" s="9495"/>
      <c r="AA84" s="9495"/>
      <c r="AB84" s="9495"/>
      <c r="AC84" s="9495"/>
      <c r="AD84" s="9495"/>
      <c r="AE84" s="9495"/>
      <c r="AF84" s="9496"/>
      <c r="AG84" s="9494" t="str">
        <f>INDEX(PT_DIFFERENTIATION_CS,MATCH(C84,PT_DIFFERENTIATION_CS_ID,0))</f>
        <v>Кировское ГП</v>
      </c>
      <c r="AH84" s="9495"/>
      <c r="AI84" s="9495"/>
      <c r="AJ84" s="9495"/>
      <c r="AK84" s="9495"/>
      <c r="AL84" s="9495"/>
      <c r="AM84" s="9495"/>
      <c r="AN84" s="9495"/>
      <c r="AO84" s="9495"/>
      <c r="AP84" s="9495"/>
      <c r="AQ84" s="9495"/>
      <c r="AR84" s="9494"/>
      <c r="AS84" s="9495"/>
      <c r="AT84" s="9495"/>
      <c r="AU84" s="9495"/>
      <c r="AV84" s="9495"/>
      <c r="AW84" s="9495"/>
      <c r="AX84" s="9495"/>
      <c r="AY84" s="9495"/>
      <c r="AZ84" s="9495"/>
      <c r="BA84" s="9495"/>
      <c r="BB84" s="9496"/>
      <c r="BC84" s="9494"/>
      <c r="BD84" s="9495"/>
      <c r="BE84" s="9495"/>
      <c r="BF84" s="9495"/>
      <c r="BG84" s="9495"/>
      <c r="BH84" s="9495"/>
      <c r="BI84" s="9495"/>
      <c r="BJ84" s="9495"/>
      <c r="BK84" s="9495"/>
      <c r="BL84" s="9495"/>
      <c r="BM84" s="9496"/>
      <c r="BN84" s="9494"/>
      <c r="BO84" s="9495"/>
      <c r="BP84" s="9495"/>
      <c r="BQ84" s="9495"/>
      <c r="BR84" s="9495"/>
      <c r="BS84" s="9495"/>
      <c r="BT84" s="9495"/>
      <c r="BU84" s="9495"/>
      <c r="BV84" s="9495"/>
      <c r="BW84" s="9495"/>
      <c r="BX84" s="9496"/>
      <c r="BY84" s="9494"/>
      <c r="BZ84" s="9495"/>
      <c r="CA84" s="9495"/>
      <c r="CB84" s="9495"/>
      <c r="CC84" s="9495"/>
      <c r="CD84" s="9495"/>
      <c r="CE84" s="9495"/>
      <c r="CF84" s="9495"/>
      <c r="CG84" s="9495"/>
      <c r="CH84" s="9495"/>
      <c r="CI84" s="9496"/>
      <c r="CJ84" s="9494"/>
      <c r="CK84" s="9495"/>
      <c r="CL84" s="9495"/>
      <c r="CM84" s="9495"/>
      <c r="CN84" s="9495"/>
      <c r="CO84" s="9495"/>
      <c r="CP84" s="9495"/>
      <c r="CQ84" s="9495"/>
      <c r="CR84" s="9495"/>
      <c r="CS84" s="9495"/>
      <c r="CT84" s="10063"/>
      <c r="CU84" s="9494"/>
      <c r="CV84" s="9495"/>
      <c r="CW84" s="9495"/>
      <c r="CX84" s="9495"/>
      <c r="CY84" s="9495"/>
      <c r="CZ84" s="9495"/>
      <c r="DA84" s="9495"/>
      <c r="DB84" s="9495"/>
      <c r="DC84" s="9495"/>
      <c r="DD84" s="9495"/>
      <c r="DE84" s="9496"/>
      <c r="DF84" s="9494"/>
      <c r="DG84" s="9495"/>
      <c r="DH84" s="9495"/>
      <c r="DI84" s="9495"/>
      <c r="DJ84" s="9495"/>
      <c r="DK84" s="9495"/>
      <c r="DL84" s="9495"/>
      <c r="DM84" s="9495"/>
      <c r="DN84" s="9495"/>
      <c r="DO84" s="9495"/>
      <c r="DP84" s="9496"/>
      <c r="DQ84" s="9496"/>
      <c r="DR84" s="10064" t="s">
        <v>635</v>
      </c>
      <c r="DS84" s="9769"/>
      <c r="DT84" s="10065"/>
      <c r="DU84" s="10065" t="str">
        <f>IF(T84="","",T84)</f>
        <v>Наименование централизованной системы горячего водоснабжения</v>
      </c>
      <c r="DV84" s="10065"/>
      <c r="DW84" s="10065"/>
    </row>
    <row s="18481" customFormat="1" customHeight="1" ht="23.25">
      <c r="A85" s="10052"/>
      <c r="B85" s="10052"/>
      <c r="C85" s="10052"/>
      <c r="D85" s="10052"/>
      <c r="E85" s="10053"/>
      <c r="F85" s="10053" t="s">
        <v>87</v>
      </c>
      <c r="G85" s="10053"/>
      <c r="H85" s="10053"/>
      <c r="I85" s="10070" t="str">
        <f>S84&amp;".1"</f>
        <v>1.5.1.1</v>
      </c>
      <c r="J85" s="10052"/>
      <c r="K85" s="10052"/>
      <c r="L85" s="10055"/>
      <c r="M85" s="10071"/>
      <c r="N85" s="10071"/>
      <c r="O85" s="10071"/>
      <c r="P85" s="10072">
        <v>1</v>
      </c>
      <c r="Q85" s="10072"/>
      <c r="R85" s="10073"/>
      <c r="S85" s="10060" t="str">
        <f>$I85</f>
        <v>1.5.1.1</v>
      </c>
      <c r="T85" s="10074" t="s">
        <v>587</v>
      </c>
      <c r="U85" s="10062"/>
      <c r="V85" s="9500"/>
      <c r="W85" s="9501"/>
      <c r="X85" s="9501"/>
      <c r="Y85" s="9501"/>
      <c r="Z85" s="9501"/>
      <c r="AA85" s="9501"/>
      <c r="AB85" s="9501"/>
      <c r="AC85" s="9501"/>
      <c r="AD85" s="9501"/>
      <c r="AE85" s="9501"/>
      <c r="AF85" s="9502"/>
      <c r="AG85" s="10075"/>
      <c r="AH85" s="10076"/>
      <c r="AI85" s="10076"/>
      <c r="AJ85" s="10076"/>
      <c r="AK85" s="10076"/>
      <c r="AL85" s="10076"/>
      <c r="AM85" s="10076"/>
      <c r="AN85" s="10076"/>
      <c r="AO85" s="10076"/>
      <c r="AP85" s="10076"/>
      <c r="AQ85" s="10076"/>
      <c r="AR85" s="9500"/>
      <c r="AS85" s="9501"/>
      <c r="AT85" s="9501"/>
      <c r="AU85" s="9501"/>
      <c r="AV85" s="9501"/>
      <c r="AW85" s="9501"/>
      <c r="AX85" s="9501"/>
      <c r="AY85" s="9501"/>
      <c r="AZ85" s="9501"/>
      <c r="BA85" s="9501"/>
      <c r="BB85" s="9502"/>
      <c r="BC85" s="9500"/>
      <c r="BD85" s="9501"/>
      <c r="BE85" s="9501"/>
      <c r="BF85" s="9501"/>
      <c r="BG85" s="9501"/>
      <c r="BH85" s="9501"/>
      <c r="BI85" s="9501"/>
      <c r="BJ85" s="9501"/>
      <c r="BK85" s="9501"/>
      <c r="BL85" s="9501"/>
      <c r="BM85" s="9502"/>
      <c r="BN85" s="9500"/>
      <c r="BO85" s="9501"/>
      <c r="BP85" s="9501"/>
      <c r="BQ85" s="9501"/>
      <c r="BR85" s="9501"/>
      <c r="BS85" s="9501"/>
      <c r="BT85" s="9501"/>
      <c r="BU85" s="9501"/>
      <c r="BV85" s="9501"/>
      <c r="BW85" s="9501"/>
      <c r="BX85" s="9502"/>
      <c r="BY85" s="9500"/>
      <c r="BZ85" s="9501"/>
      <c r="CA85" s="9501"/>
      <c r="CB85" s="9501"/>
      <c r="CC85" s="9501"/>
      <c r="CD85" s="9501"/>
      <c r="CE85" s="9501"/>
      <c r="CF85" s="9501"/>
      <c r="CG85" s="9501"/>
      <c r="CH85" s="9501"/>
      <c r="CI85" s="9502"/>
      <c r="CJ85" s="9500"/>
      <c r="CK85" s="9501"/>
      <c r="CL85" s="9501"/>
      <c r="CM85" s="9501"/>
      <c r="CN85" s="9501"/>
      <c r="CO85" s="9501"/>
      <c r="CP85" s="9501"/>
      <c r="CQ85" s="9501"/>
      <c r="CR85" s="9501"/>
      <c r="CS85" s="9501"/>
      <c r="CT85" s="10077"/>
      <c r="CU85" s="9500"/>
      <c r="CV85" s="9501"/>
      <c r="CW85" s="9501"/>
      <c r="CX85" s="9501"/>
      <c r="CY85" s="9501"/>
      <c r="CZ85" s="9501"/>
      <c r="DA85" s="9501"/>
      <c r="DB85" s="9501"/>
      <c r="DC85" s="9501"/>
      <c r="DD85" s="9501"/>
      <c r="DE85" s="9502"/>
      <c r="DF85" s="9500"/>
      <c r="DG85" s="9501"/>
      <c r="DH85" s="9501"/>
      <c r="DI85" s="9501"/>
      <c r="DJ85" s="9501"/>
      <c r="DK85" s="9501"/>
      <c r="DL85" s="9501"/>
      <c r="DM85" s="9501"/>
      <c r="DN85" s="9501"/>
      <c r="DO85" s="9501"/>
      <c r="DP85" s="9502"/>
      <c r="DQ85" s="10078"/>
      <c r="DR85" s="10064" t="s">
        <v>588</v>
      </c>
      <c r="DS85" s="9769"/>
      <c r="DT85" s="10065"/>
      <c r="DU85" s="10065" t="str">
        <f>IF(T85="","",T85)</f>
        <v>Наименование признака дифференциации</v>
      </c>
      <c r="DV85" s="10065"/>
      <c r="DW85" s="10065"/>
    </row>
    <row s="18482" customFormat="1" customHeight="1" ht="23.25">
      <c r="A86" s="10052"/>
      <c r="B86" s="10052"/>
      <c r="C86" s="10052"/>
      <c r="D86" s="10052"/>
      <c r="E86" s="10053"/>
      <c r="F86" s="10053" t="s">
        <v>87</v>
      </c>
      <c r="G86" s="10053"/>
      <c r="H86" s="10053"/>
      <c r="I86" s="10080"/>
      <c r="J86" s="10070" t="str">
        <f>I85&amp;".1"</f>
        <v>1.5.1.1.1</v>
      </c>
      <c r="K86" s="10052"/>
      <c r="L86" s="10055" t="s">
        <v>512</v>
      </c>
      <c r="M86" s="10071"/>
      <c r="N86" s="10071"/>
      <c r="O86" s="10071"/>
      <c r="P86" s="10072"/>
      <c r="Q86" s="10072">
        <v>1</v>
      </c>
      <c r="R86" s="10081"/>
      <c r="S86" s="10060" t="str">
        <f>$J86</f>
        <v>1.5.1.1.1</v>
      </c>
      <c r="T86" s="10082" t="s">
        <v>513</v>
      </c>
      <c r="U86" s="10062"/>
      <c r="V86" s="9506"/>
      <c r="W86" s="9507"/>
      <c r="X86" s="9507"/>
      <c r="Y86" s="9507"/>
      <c r="Z86" s="9507"/>
      <c r="AA86" s="9507"/>
      <c r="AB86" s="9507"/>
      <c r="AC86" s="9507"/>
      <c r="AD86" s="9507"/>
      <c r="AE86" s="9507"/>
      <c r="AF86" s="9508"/>
      <c r="AG86" s="9506" t="s">
        <v>647</v>
      </c>
      <c r="AH86" s="9507"/>
      <c r="AI86" s="9507"/>
      <c r="AJ86" s="9507"/>
      <c r="AK86" s="9507"/>
      <c r="AL86" s="9507"/>
      <c r="AM86" s="9507"/>
      <c r="AN86" s="9507"/>
      <c r="AO86" s="9507"/>
      <c r="AP86" s="9507"/>
      <c r="AQ86" s="9507"/>
      <c r="AR86" s="9506"/>
      <c r="AS86" s="9507"/>
      <c r="AT86" s="9507"/>
      <c r="AU86" s="9507"/>
      <c r="AV86" s="9507"/>
      <c r="AW86" s="9507"/>
      <c r="AX86" s="9507"/>
      <c r="AY86" s="9507"/>
      <c r="AZ86" s="9507"/>
      <c r="BA86" s="9507"/>
      <c r="BB86" s="9508"/>
      <c r="BC86" s="9506"/>
      <c r="BD86" s="9507"/>
      <c r="BE86" s="9507"/>
      <c r="BF86" s="9507"/>
      <c r="BG86" s="9507"/>
      <c r="BH86" s="9507"/>
      <c r="BI86" s="9507"/>
      <c r="BJ86" s="9507"/>
      <c r="BK86" s="9507"/>
      <c r="BL86" s="9507"/>
      <c r="BM86" s="9508"/>
      <c r="BN86" s="9506"/>
      <c r="BO86" s="9507"/>
      <c r="BP86" s="9507"/>
      <c r="BQ86" s="9507"/>
      <c r="BR86" s="9507"/>
      <c r="BS86" s="9507"/>
      <c r="BT86" s="9507"/>
      <c r="BU86" s="9507"/>
      <c r="BV86" s="9507"/>
      <c r="BW86" s="9507"/>
      <c r="BX86" s="9508"/>
      <c r="BY86" s="9506"/>
      <c r="BZ86" s="9507"/>
      <c r="CA86" s="9507"/>
      <c r="CB86" s="9507"/>
      <c r="CC86" s="9507"/>
      <c r="CD86" s="9507"/>
      <c r="CE86" s="9507"/>
      <c r="CF86" s="9507"/>
      <c r="CG86" s="9507"/>
      <c r="CH86" s="9507"/>
      <c r="CI86" s="9508"/>
      <c r="CJ86" s="9506"/>
      <c r="CK86" s="9507"/>
      <c r="CL86" s="9507"/>
      <c r="CM86" s="9507"/>
      <c r="CN86" s="9507"/>
      <c r="CO86" s="9507"/>
      <c r="CP86" s="9507"/>
      <c r="CQ86" s="9507"/>
      <c r="CR86" s="9507"/>
      <c r="CS86" s="9507"/>
      <c r="CT86" s="10083"/>
      <c r="CU86" s="9506"/>
      <c r="CV86" s="9507"/>
      <c r="CW86" s="9507"/>
      <c r="CX86" s="9507"/>
      <c r="CY86" s="9507"/>
      <c r="CZ86" s="9507"/>
      <c r="DA86" s="9507"/>
      <c r="DB86" s="9507"/>
      <c r="DC86" s="9507"/>
      <c r="DD86" s="9507"/>
      <c r="DE86" s="9508"/>
      <c r="DF86" s="9506"/>
      <c r="DG86" s="9507"/>
      <c r="DH86" s="9507"/>
      <c r="DI86" s="9507"/>
      <c r="DJ86" s="9507"/>
      <c r="DK86" s="9507"/>
      <c r="DL86" s="9507"/>
      <c r="DM86" s="9507"/>
      <c r="DN86" s="9507"/>
      <c r="DO86" s="9507"/>
      <c r="DP86" s="9508"/>
      <c r="DQ86" s="9508"/>
      <c r="DR86" s="10084" t="s">
        <v>589</v>
      </c>
      <c r="DS86" s="9769"/>
      <c r="DT86" s="10065"/>
      <c r="DU86" s="10065" t="str">
        <f>IF(T86="","",T86)</f>
        <v>Группа потребителей</v>
      </c>
      <c r="DV86" s="10065"/>
      <c r="DW86" s="10065"/>
    </row>
    <row s="18483" customFormat="1" customHeight="1" ht="23.25">
      <c r="A87" s="10052"/>
      <c r="B87" s="10052"/>
      <c r="C87" s="10052"/>
      <c r="D87" s="10052"/>
      <c r="E87" s="10053"/>
      <c r="F87" s="10053" t="s">
        <v>87</v>
      </c>
      <c r="G87" s="10053"/>
      <c r="H87" s="10053"/>
      <c r="I87" s="10080"/>
      <c r="J87" s="10080"/>
      <c r="K87" s="10070" t="str">
        <f>J86&amp;".1"</f>
        <v>1.5.1.1.1.1</v>
      </c>
      <c r="L87" s="10055"/>
      <c r="M87" s="10071"/>
      <c r="N87" s="10071"/>
      <c r="O87" s="10071"/>
      <c r="P87" s="10072"/>
      <c r="Q87" s="10072"/>
      <c r="R87" s="10081">
        <v>1</v>
      </c>
      <c r="S87" s="10060" t="str">
        <f>$K87</f>
        <v>1.5.1.1.1.1</v>
      </c>
      <c r="T87" s="10086"/>
      <c r="U87" s="10062"/>
      <c r="V87" s="9512"/>
      <c r="W87" s="9512"/>
      <c r="X87" s="9512"/>
      <c r="Y87" s="9512"/>
      <c r="Z87" s="9512"/>
      <c r="AA87" s="9512"/>
      <c r="AB87" s="9512"/>
      <c r="AC87" s="9513"/>
      <c r="AD87" s="9514" t="s">
        <v>63</v>
      </c>
      <c r="AE87" s="9513"/>
      <c r="AF87" s="9514" t="s">
        <v>63</v>
      </c>
      <c r="AG87" s="9512">
        <v>421.92</v>
      </c>
      <c r="AH87" s="9512"/>
      <c r="AI87" s="9512"/>
      <c r="AJ87" s="9512"/>
      <c r="AK87" s="9512"/>
      <c r="AL87" s="9512"/>
      <c r="AM87" s="9512"/>
      <c r="AN87" s="9513">
        <v>45658.61070601852</v>
      </c>
      <c r="AO87" s="9514" t="s">
        <v>63</v>
      </c>
      <c r="AP87" s="9817">
        <v>45838.610289351855</v>
      </c>
      <c r="AQ87" s="9514" t="s">
        <v>63</v>
      </c>
      <c r="AR87" s="9512">
        <v>613.96</v>
      </c>
      <c r="AS87" s="9512"/>
      <c r="AT87" s="9512"/>
      <c r="AU87" s="9512"/>
      <c r="AV87" s="9512"/>
      <c r="AW87" s="9512"/>
      <c r="AX87" s="9512"/>
      <c r="AY87" s="9513">
        <v>45839.60984953704</v>
      </c>
      <c r="AZ87" s="9514" t="s">
        <v>63</v>
      </c>
      <c r="BA87" s="9513">
        <v>46022.60958333333</v>
      </c>
      <c r="BB87" s="9514" t="s">
        <v>63</v>
      </c>
      <c r="BC87" s="9512">
        <v>613.96</v>
      </c>
      <c r="BD87" s="9512"/>
      <c r="BE87" s="9512"/>
      <c r="BF87" s="9512"/>
      <c r="BG87" s="9512"/>
      <c r="BH87" s="9512"/>
      <c r="BI87" s="9512"/>
      <c r="BJ87" s="9513">
        <v>46023.609375</v>
      </c>
      <c r="BK87" s="9514" t="s">
        <v>63</v>
      </c>
      <c r="BL87" s="9513">
        <v>46203.60921296296</v>
      </c>
      <c r="BM87" s="9514" t="s">
        <v>63</v>
      </c>
      <c r="BN87" s="9512">
        <v>638.53</v>
      </c>
      <c r="BO87" s="9512"/>
      <c r="BP87" s="9512"/>
      <c r="BQ87" s="9512"/>
      <c r="BR87" s="9512"/>
      <c r="BS87" s="9512"/>
      <c r="BT87" s="9512"/>
      <c r="BU87" s="9513">
        <v>46204.60880787037</v>
      </c>
      <c r="BV87" s="9514" t="s">
        <v>63</v>
      </c>
      <c r="BW87" s="9513">
        <v>46387.60855324074</v>
      </c>
      <c r="BX87" s="9514" t="s">
        <v>63</v>
      </c>
      <c r="BY87" s="9512">
        <v>638.53</v>
      </c>
      <c r="BZ87" s="9512"/>
      <c r="CA87" s="9512"/>
      <c r="CB87" s="9512"/>
      <c r="CC87" s="9512"/>
      <c r="CD87" s="9512"/>
      <c r="CE87" s="9512"/>
      <c r="CF87" s="9513">
        <v>46388.60806712963</v>
      </c>
      <c r="CG87" s="9514" t="s">
        <v>63</v>
      </c>
      <c r="CH87" s="9513">
        <v>46568.60795138889</v>
      </c>
      <c r="CI87" s="9514" t="s">
        <v>63</v>
      </c>
      <c r="CJ87" s="9512">
        <v>664.06</v>
      </c>
      <c r="CK87" s="9512"/>
      <c r="CL87" s="9512"/>
      <c r="CM87" s="9512"/>
      <c r="CN87" s="9512"/>
      <c r="CO87" s="9512"/>
      <c r="CP87" s="9512"/>
      <c r="CQ87" s="9513">
        <v>46569.607835648145</v>
      </c>
      <c r="CR87" s="9514" t="s">
        <v>63</v>
      </c>
      <c r="CS87" s="9513">
        <v>46752.607615740744</v>
      </c>
      <c r="CT87" s="10087" t="s">
        <v>63</v>
      </c>
      <c r="CU87" s="9512">
        <v>664.06</v>
      </c>
      <c r="CV87" s="9512"/>
      <c r="CW87" s="9512"/>
      <c r="CX87" s="9512"/>
      <c r="CY87" s="9512"/>
      <c r="CZ87" s="9512"/>
      <c r="DA87" s="9512"/>
      <c r="DB87" s="9513">
        <v>46753.60726851852</v>
      </c>
      <c r="DC87" s="9514" t="s">
        <v>63</v>
      </c>
      <c r="DD87" s="9513">
        <v>46934.60712962963</v>
      </c>
      <c r="DE87" s="9514" t="s">
        <v>63</v>
      </c>
      <c r="DF87" s="9512">
        <v>690.63</v>
      </c>
      <c r="DG87" s="9512"/>
      <c r="DH87" s="9512"/>
      <c r="DI87" s="9512"/>
      <c r="DJ87" s="9512"/>
      <c r="DK87" s="9512"/>
      <c r="DL87" s="9512"/>
      <c r="DM87" s="9513">
        <v>46935.60663194444</v>
      </c>
      <c r="DN87" s="9514" t="s">
        <v>63</v>
      </c>
      <c r="DO87" s="9513">
        <v>47118.60643518518</v>
      </c>
      <c r="DP87" s="9514" t="s">
        <v>63</v>
      </c>
      <c r="DQ87" s="10088"/>
      <c r="DR87" s="100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S87" s="9769">
        <f>STRCHECKDATE(V88:DQ88)</f>
      </c>
      <c r="DT87" s="10065"/>
      <c r="DU87" s="10065" t="str">
        <f>IF(T87="","",T87)</f>
        <v/>
      </c>
      <c r="DV87" s="10065"/>
      <c r="DW87" s="10065"/>
    </row>
    <row s="18484" customFormat="1" customHeight="1" ht="14.25">
      <c r="A88" s="10052"/>
      <c r="B88" s="10052"/>
      <c r="C88" s="10052"/>
      <c r="D88" s="10052"/>
      <c r="E88" s="10053"/>
      <c r="F88" s="10053" t="s">
        <v>87</v>
      </c>
      <c r="G88" s="10053"/>
      <c r="H88" s="10053"/>
      <c r="I88" s="10080"/>
      <c r="J88" s="10080"/>
      <c r="K88" s="10070"/>
      <c r="L88" s="10055"/>
      <c r="M88" s="10071"/>
      <c r="N88" s="10071"/>
      <c r="O88" s="10071"/>
      <c r="P88" s="10072"/>
      <c r="Q88" s="10072"/>
      <c r="R88" s="10081"/>
      <c r="S88" s="10091"/>
      <c r="T88" s="10062"/>
      <c r="U88" s="10062"/>
      <c r="V88" s="9517"/>
      <c r="W88" s="9517"/>
      <c r="X88" s="9517"/>
      <c r="Y88" s="9517"/>
      <c r="Z88" s="9517"/>
      <c r="AA88" s="9517"/>
      <c r="AB88" s="9517"/>
      <c r="AC88" s="9518"/>
      <c r="AD88" s="9514"/>
      <c r="AE88" s="9518"/>
      <c r="AF88" s="9514"/>
      <c r="AG88" s="9517"/>
      <c r="AH88" s="9517"/>
      <c r="AI88" s="9517"/>
      <c r="AJ88" s="9517"/>
      <c r="AK88" s="9517"/>
      <c r="AL88" s="9517"/>
      <c r="AM88" s="9517"/>
      <c r="AN88" s="9518"/>
      <c r="AO88" s="9514"/>
      <c r="AP88" s="9819"/>
      <c r="AQ88" s="9514"/>
      <c r="AR88" s="9517"/>
      <c r="AS88" s="9517"/>
      <c r="AT88" s="9517"/>
      <c r="AU88" s="9517"/>
      <c r="AV88" s="9517"/>
      <c r="AW88" s="9517"/>
      <c r="AX88" s="9517"/>
      <c r="AY88" s="9518"/>
      <c r="AZ88" s="9514"/>
      <c r="BA88" s="9518"/>
      <c r="BB88" s="9514"/>
      <c r="BC88" s="9517"/>
      <c r="BD88" s="9517"/>
      <c r="BE88" s="9517"/>
      <c r="BF88" s="9517"/>
      <c r="BG88" s="9517"/>
      <c r="BH88" s="9517"/>
      <c r="BI88" s="9517"/>
      <c r="BJ88" s="9518"/>
      <c r="BK88" s="9514"/>
      <c r="BL88" s="9518"/>
      <c r="BM88" s="9514"/>
      <c r="BN88" s="9517"/>
      <c r="BO88" s="9517"/>
      <c r="BP88" s="9517"/>
      <c r="BQ88" s="9517"/>
      <c r="BR88" s="9517"/>
      <c r="BS88" s="9517"/>
      <c r="BT88" s="9517"/>
      <c r="BU88" s="9518"/>
      <c r="BV88" s="9514"/>
      <c r="BW88" s="9518"/>
      <c r="BX88" s="9514"/>
      <c r="BY88" s="9517"/>
      <c r="BZ88" s="9517"/>
      <c r="CA88" s="9517"/>
      <c r="CB88" s="9517"/>
      <c r="CC88" s="9517"/>
      <c r="CD88" s="9517"/>
      <c r="CE88" s="9517"/>
      <c r="CF88" s="9518"/>
      <c r="CG88" s="9514"/>
      <c r="CH88" s="9518"/>
      <c r="CI88" s="9514"/>
      <c r="CJ88" s="9517"/>
      <c r="CK88" s="9517"/>
      <c r="CL88" s="9517"/>
      <c r="CM88" s="9517"/>
      <c r="CN88" s="9517"/>
      <c r="CO88" s="9517"/>
      <c r="CP88" s="9517"/>
      <c r="CQ88" s="9518"/>
      <c r="CR88" s="9514"/>
      <c r="CS88" s="9518"/>
      <c r="CT88" s="10087"/>
      <c r="CU88" s="9517"/>
      <c r="CV88" s="9517"/>
      <c r="CW88" s="9517"/>
      <c r="CX88" s="9517"/>
      <c r="CY88" s="9517"/>
      <c r="CZ88" s="9517"/>
      <c r="DA88" s="9517"/>
      <c r="DB88" s="9518"/>
      <c r="DC88" s="9514"/>
      <c r="DD88" s="9518"/>
      <c r="DE88" s="9514"/>
      <c r="DF88" s="9517"/>
      <c r="DG88" s="9517"/>
      <c r="DH88" s="9517"/>
      <c r="DI88" s="9517"/>
      <c r="DJ88" s="9517"/>
      <c r="DK88" s="9517"/>
      <c r="DL88" s="9517"/>
      <c r="DM88" s="9518"/>
      <c r="DN88" s="9514"/>
      <c r="DO88" s="9518"/>
      <c r="DP88" s="9514"/>
      <c r="DQ88" s="10092"/>
      <c r="DR88" s="10089"/>
      <c r="DS88" s="9769"/>
      <c r="DT88" s="10065"/>
      <c r="DU88" s="10065" t="str">
        <f>IF(T88="","",T88)</f>
        <v/>
      </c>
      <c r="DV88" s="10065"/>
      <c r="DW88" s="10065"/>
    </row>
    <row s="18485" customFormat="1" customHeight="1" ht="21">
      <c r="A89" s="10052"/>
      <c r="B89" s="10052"/>
      <c r="C89" s="10052"/>
      <c r="D89" s="10052"/>
      <c r="E89" s="10053"/>
      <c r="F89" s="10053" t="s">
        <v>87</v>
      </c>
      <c r="G89" s="10053"/>
      <c r="H89" s="10053"/>
      <c r="I89" s="10080"/>
      <c r="J89" s="10070"/>
      <c r="K89" s="10052"/>
      <c r="L89" s="10055"/>
      <c r="M89" s="10071"/>
      <c r="N89" s="10071"/>
      <c r="O89" s="10071"/>
      <c r="P89" s="10072"/>
      <c r="Q89" s="10072"/>
      <c r="R89" s="10073"/>
      <c r="S89" s="11068"/>
      <c r="T89" s="11069" t="s">
        <v>590</v>
      </c>
      <c r="U89" s="11070"/>
      <c r="V89" s="11071"/>
      <c r="W89" s="11072"/>
      <c r="X89" s="11073"/>
      <c r="Y89" s="11074"/>
      <c r="Z89" s="11075"/>
      <c r="AA89" s="11076"/>
      <c r="AB89" s="11077"/>
      <c r="AC89" s="11078"/>
      <c r="AD89" s="11079"/>
      <c r="AE89" s="11080"/>
      <c r="AF89" s="11081"/>
      <c r="AG89" s="11082"/>
      <c r="AH89" s="11083"/>
      <c r="AI89" s="11084"/>
      <c r="AJ89" s="11085"/>
      <c r="AK89" s="11086"/>
      <c r="AL89" s="11087"/>
      <c r="AM89" s="11088"/>
      <c r="AN89" s="11089"/>
      <c r="AO89" s="11090"/>
      <c r="AP89" s="11091"/>
      <c r="AQ89" s="11092"/>
      <c r="AR89" s="11093"/>
      <c r="AS89" s="11094"/>
      <c r="AT89" s="11095"/>
      <c r="AU89" s="11096"/>
      <c r="AV89" s="11097"/>
      <c r="AW89" s="11098"/>
      <c r="AX89" s="11099"/>
      <c r="AY89" s="11100"/>
      <c r="AZ89" s="11101"/>
      <c r="BA89" s="11102"/>
      <c r="BB89" s="11103"/>
      <c r="BC89" s="11104"/>
      <c r="BD89" s="11105"/>
      <c r="BE89" s="11106"/>
      <c r="BF89" s="11107"/>
      <c r="BG89" s="11108"/>
      <c r="BH89" s="11109"/>
      <c r="BI89" s="11110"/>
      <c r="BJ89" s="11111"/>
      <c r="BK89" s="11112"/>
      <c r="BL89" s="11113"/>
      <c r="BM89" s="11114"/>
      <c r="BN89" s="11115"/>
      <c r="BO89" s="11116"/>
      <c r="BP89" s="11117"/>
      <c r="BQ89" s="11118"/>
      <c r="BR89" s="11119"/>
      <c r="BS89" s="11120"/>
      <c r="BT89" s="11121"/>
      <c r="BU89" s="11122"/>
      <c r="BV89" s="11123"/>
      <c r="BW89" s="11124"/>
      <c r="BX89" s="11125"/>
      <c r="BY89" s="11126"/>
      <c r="BZ89" s="11127"/>
      <c r="CA89" s="11128"/>
      <c r="CB89" s="11129"/>
      <c r="CC89" s="11130"/>
      <c r="CD89" s="11131"/>
      <c r="CE89" s="11132"/>
      <c r="CF89" s="11133"/>
      <c r="CG89" s="11134"/>
      <c r="CH89" s="11135"/>
      <c r="CI89" s="11136"/>
      <c r="CJ89" s="11137"/>
      <c r="CK89" s="11138"/>
      <c r="CL89" s="11139"/>
      <c r="CM89" s="11140"/>
      <c r="CN89" s="11141"/>
      <c r="CO89" s="11142"/>
      <c r="CP89" s="11143"/>
      <c r="CQ89" s="11144"/>
      <c r="CR89" s="11145"/>
      <c r="CS89" s="11146"/>
      <c r="CT89" s="11147"/>
      <c r="CU89" s="11148"/>
      <c r="CV89" s="11149"/>
      <c r="CW89" s="11150"/>
      <c r="CX89" s="11151"/>
      <c r="CY89" s="11152"/>
      <c r="CZ89" s="11153"/>
      <c r="DA89" s="11154"/>
      <c r="DB89" s="11155"/>
      <c r="DC89" s="11156"/>
      <c r="DD89" s="11157"/>
      <c r="DE89" s="11158"/>
      <c r="DF89" s="11159"/>
      <c r="DG89" s="11160"/>
      <c r="DH89" s="11161"/>
      <c r="DI89" s="11162"/>
      <c r="DJ89" s="11163"/>
      <c r="DK89" s="11164"/>
      <c r="DL89" s="11165"/>
      <c r="DM89" s="11166"/>
      <c r="DN89" s="11167"/>
      <c r="DO89" s="11168"/>
      <c r="DP89" s="11169"/>
      <c r="DQ89" s="11170"/>
      <c r="DR89" s="10064" t="s">
        <v>591</v>
      </c>
      <c r="DS89" s="9769"/>
      <c r="DT89" s="10065"/>
      <c r="DU89" s="10065" t="str">
        <f>IF(T89="","",T89)</f>
        <v>Добавить значение признака дифференциации</v>
      </c>
      <c r="DV89" s="10065"/>
      <c r="DW89" s="10065"/>
    </row>
    <row s="18589" customFormat="1" customHeight="1" ht="21">
      <c r="A90" s="10052"/>
      <c r="B90" s="10052"/>
      <c r="C90" s="10052"/>
      <c r="D90" s="10052"/>
      <c r="E90" s="10053"/>
      <c r="F90" s="10053" t="s">
        <v>87</v>
      </c>
      <c r="G90" s="10053"/>
      <c r="H90" s="10053"/>
      <c r="I90" s="10070"/>
      <c r="J90" s="10052"/>
      <c r="K90" s="10052"/>
      <c r="L90" s="10055"/>
      <c r="M90" s="10071"/>
      <c r="N90" s="10071"/>
      <c r="O90" s="10071"/>
      <c r="P90" s="10072"/>
      <c r="Q90" s="10072"/>
      <c r="R90" s="10073"/>
      <c r="S90" s="11172"/>
      <c r="T90" s="11173" t="s">
        <v>518</v>
      </c>
      <c r="U90" s="11174"/>
      <c r="V90" s="11175"/>
      <c r="W90" s="11176"/>
      <c r="X90" s="11177"/>
      <c r="Y90" s="11178"/>
      <c r="Z90" s="11179"/>
      <c r="AA90" s="11180"/>
      <c r="AB90" s="11181"/>
      <c r="AC90" s="11182"/>
      <c r="AD90" s="11183"/>
      <c r="AE90" s="11184"/>
      <c r="AF90" s="11185"/>
      <c r="AG90" s="11186"/>
      <c r="AH90" s="11187"/>
      <c r="AI90" s="11188"/>
      <c r="AJ90" s="11189"/>
      <c r="AK90" s="11190"/>
      <c r="AL90" s="11191"/>
      <c r="AM90" s="11192"/>
      <c r="AN90" s="11193"/>
      <c r="AO90" s="11194"/>
      <c r="AP90" s="11195"/>
      <c r="AQ90" s="11196"/>
      <c r="AR90" s="11197"/>
      <c r="AS90" s="11198"/>
      <c r="AT90" s="11199"/>
      <c r="AU90" s="11200"/>
      <c r="AV90" s="11201"/>
      <c r="AW90" s="11202"/>
      <c r="AX90" s="11203"/>
      <c r="AY90" s="11204"/>
      <c r="AZ90" s="11205"/>
      <c r="BA90" s="11206"/>
      <c r="BB90" s="11207"/>
      <c r="BC90" s="11208"/>
      <c r="BD90" s="11209"/>
      <c r="BE90" s="11210"/>
      <c r="BF90" s="11211"/>
      <c r="BG90" s="11212"/>
      <c r="BH90" s="11213"/>
      <c r="BI90" s="11214"/>
      <c r="BJ90" s="11215"/>
      <c r="BK90" s="11216"/>
      <c r="BL90" s="11217"/>
      <c r="BM90" s="11218"/>
      <c r="BN90" s="11219"/>
      <c r="BO90" s="11220"/>
      <c r="BP90" s="11221"/>
      <c r="BQ90" s="11222"/>
      <c r="BR90" s="11223"/>
      <c r="BS90" s="11224"/>
      <c r="BT90" s="11225"/>
      <c r="BU90" s="11226"/>
      <c r="BV90" s="11227"/>
      <c r="BW90" s="11228"/>
      <c r="BX90" s="11229"/>
      <c r="BY90" s="11230"/>
      <c r="BZ90" s="11231"/>
      <c r="CA90" s="11232"/>
      <c r="CB90" s="11233"/>
      <c r="CC90" s="11234"/>
      <c r="CD90" s="11235"/>
      <c r="CE90" s="11236"/>
      <c r="CF90" s="11237"/>
      <c r="CG90" s="11238"/>
      <c r="CH90" s="11239"/>
      <c r="CI90" s="11240"/>
      <c r="CJ90" s="11241"/>
      <c r="CK90" s="11242"/>
      <c r="CL90" s="11243"/>
      <c r="CM90" s="11244"/>
      <c r="CN90" s="11245"/>
      <c r="CO90" s="11246"/>
      <c r="CP90" s="11247"/>
      <c r="CQ90" s="11248"/>
      <c r="CR90" s="11249"/>
      <c r="CS90" s="11250"/>
      <c r="CT90" s="11251"/>
      <c r="CU90" s="11252"/>
      <c r="CV90" s="11253"/>
      <c r="CW90" s="11254"/>
      <c r="CX90" s="11255"/>
      <c r="CY90" s="11256"/>
      <c r="CZ90" s="11257"/>
      <c r="DA90" s="11258"/>
      <c r="DB90" s="11259"/>
      <c r="DC90" s="11260"/>
      <c r="DD90" s="11261"/>
      <c r="DE90" s="11262"/>
      <c r="DF90" s="11263"/>
      <c r="DG90" s="11264"/>
      <c r="DH90" s="11265"/>
      <c r="DI90" s="11266"/>
      <c r="DJ90" s="11267"/>
      <c r="DK90" s="11268"/>
      <c r="DL90" s="11269"/>
      <c r="DM90" s="11270"/>
      <c r="DN90" s="11271"/>
      <c r="DO90" s="11272"/>
      <c r="DP90" s="11273"/>
      <c r="DQ90" s="11274"/>
      <c r="DR90" s="11275"/>
      <c r="DS90" s="9769"/>
      <c r="DT90" s="10065"/>
      <c r="DU90" s="10065" t="str">
        <f>IF(T90="","",T90)</f>
        <v>Добавить группу потребителей</v>
      </c>
      <c r="DV90" s="10065"/>
      <c r="DW90" s="10065"/>
    </row>
    <row s="18694" customFormat="1" customHeight="1" ht="21">
      <c r="A91" s="10052"/>
      <c r="B91" s="10052"/>
      <c r="C91" s="10052"/>
      <c r="D91" s="10052"/>
      <c r="E91" s="10053"/>
      <c r="F91" s="10053" t="s">
        <v>87</v>
      </c>
      <c r="G91" s="10053"/>
      <c r="H91" s="10054"/>
      <c r="I91" s="10052"/>
      <c r="J91" s="10052"/>
      <c r="K91" s="10052"/>
      <c r="L91" s="10055"/>
      <c r="M91" s="10056"/>
      <c r="N91" s="10056"/>
      <c r="O91" s="9754"/>
      <c r="P91" s="10303"/>
      <c r="Q91" s="10304"/>
      <c r="R91" s="10305"/>
      <c r="S91" s="11277"/>
      <c r="T91" s="11278" t="s">
        <v>592</v>
      </c>
      <c r="U91" s="11279"/>
      <c r="V91" s="11280"/>
      <c r="W91" s="11281"/>
      <c r="X91" s="11282"/>
      <c r="Y91" s="11283"/>
      <c r="Z91" s="11284"/>
      <c r="AA91" s="11285"/>
      <c r="AB91" s="11286"/>
      <c r="AC91" s="11287"/>
      <c r="AD91" s="11288"/>
      <c r="AE91" s="11289"/>
      <c r="AF91" s="11290"/>
      <c r="AG91" s="11291"/>
      <c r="AH91" s="11292"/>
      <c r="AI91" s="11293"/>
      <c r="AJ91" s="11294"/>
      <c r="AK91" s="11295"/>
      <c r="AL91" s="11296"/>
      <c r="AM91" s="11297"/>
      <c r="AN91" s="11298"/>
      <c r="AO91" s="11299"/>
      <c r="AP91" s="11300"/>
      <c r="AQ91" s="11301"/>
      <c r="AR91" s="11302"/>
      <c r="AS91" s="11303"/>
      <c r="AT91" s="11304"/>
      <c r="AU91" s="11305"/>
      <c r="AV91" s="11306"/>
      <c r="AW91" s="11307"/>
      <c r="AX91" s="11308"/>
      <c r="AY91" s="11309"/>
      <c r="AZ91" s="11310"/>
      <c r="BA91" s="11311"/>
      <c r="BB91" s="11312"/>
      <c r="BC91" s="11313"/>
      <c r="BD91" s="11314"/>
      <c r="BE91" s="11315"/>
      <c r="BF91" s="11316"/>
      <c r="BG91" s="11317"/>
      <c r="BH91" s="11318"/>
      <c r="BI91" s="11319"/>
      <c r="BJ91" s="11320"/>
      <c r="BK91" s="11321"/>
      <c r="BL91" s="11322"/>
      <c r="BM91" s="11323"/>
      <c r="BN91" s="11324"/>
      <c r="BO91" s="11325"/>
      <c r="BP91" s="11326"/>
      <c r="BQ91" s="11327"/>
      <c r="BR91" s="11328"/>
      <c r="BS91" s="11329"/>
      <c r="BT91" s="11330"/>
      <c r="BU91" s="11331"/>
      <c r="BV91" s="11332"/>
      <c r="BW91" s="11333"/>
      <c r="BX91" s="11334"/>
      <c r="BY91" s="11335"/>
      <c r="BZ91" s="11336"/>
      <c r="CA91" s="11337"/>
      <c r="CB91" s="11338"/>
      <c r="CC91" s="11339"/>
      <c r="CD91" s="11340"/>
      <c r="CE91" s="11341"/>
      <c r="CF91" s="11342"/>
      <c r="CG91" s="11343"/>
      <c r="CH91" s="11344"/>
      <c r="CI91" s="11345"/>
      <c r="CJ91" s="11346"/>
      <c r="CK91" s="11347"/>
      <c r="CL91" s="11348"/>
      <c r="CM91" s="11349"/>
      <c r="CN91" s="11350"/>
      <c r="CO91" s="11351"/>
      <c r="CP91" s="11352"/>
      <c r="CQ91" s="11353"/>
      <c r="CR91" s="11354"/>
      <c r="CS91" s="11355"/>
      <c r="CT91" s="11356"/>
      <c r="CU91" s="11357"/>
      <c r="CV91" s="11358"/>
      <c r="CW91" s="11359"/>
      <c r="CX91" s="11360"/>
      <c r="CY91" s="11361"/>
      <c r="CZ91" s="11362"/>
      <c r="DA91" s="11363"/>
      <c r="DB91" s="11364"/>
      <c r="DC91" s="11365"/>
      <c r="DD91" s="11366"/>
      <c r="DE91" s="11367"/>
      <c r="DF91" s="11368"/>
      <c r="DG91" s="11369"/>
      <c r="DH91" s="11370"/>
      <c r="DI91" s="11371"/>
      <c r="DJ91" s="11372"/>
      <c r="DK91" s="11373"/>
      <c r="DL91" s="11374"/>
      <c r="DM91" s="11375"/>
      <c r="DN91" s="11376"/>
      <c r="DO91" s="11377"/>
      <c r="DP91" s="11378"/>
      <c r="DQ91" s="11379"/>
      <c r="DR91" s="11380"/>
      <c r="DS91" s="9769"/>
      <c r="DT91" s="10065"/>
      <c r="DU91" s="10065" t="str">
        <f>IF(T91="","",T91)</f>
        <v>Добавить наименование признака дифференциации</v>
      </c>
      <c r="DV91" s="10065"/>
      <c r="DW91" s="10065"/>
    </row>
    <row s="18799" customFormat="1" customHeight="1" ht="14.25">
      <c r="A92" s="10411"/>
      <c r="B92" s="10411"/>
      <c r="C92" s="10411"/>
      <c r="D92" s="10411"/>
      <c r="E92" s="10053"/>
      <c r="F92" s="10054" t="s">
        <v>87</v>
      </c>
      <c r="G92" s="10411"/>
      <c r="H92" s="10411"/>
      <c r="I92" s="10411"/>
      <c r="J92" s="10411"/>
      <c r="K92" s="10411"/>
      <c r="L92" s="10412"/>
      <c r="M92" s="10413"/>
      <c r="N92" s="10413"/>
      <c r="O92" s="9769"/>
      <c r="P92" s="10414"/>
      <c r="Q92" s="10415"/>
      <c r="R92" s="10414"/>
      <c r="S92" s="10416"/>
      <c r="T92" s="10417" t="s">
        <v>305</v>
      </c>
      <c r="U92" s="9751"/>
      <c r="V92" s="9751"/>
      <c r="W92" s="9751"/>
      <c r="X92" s="9751"/>
      <c r="Y92" s="9751"/>
      <c r="Z92" s="9751"/>
      <c r="AA92" s="9751"/>
      <c r="AB92" s="9751"/>
      <c r="AC92" s="9751"/>
      <c r="AD92" s="9751"/>
      <c r="AE92" s="9751"/>
      <c r="AF92" s="9751"/>
      <c r="AG92" s="9751"/>
      <c r="AH92" s="9751"/>
      <c r="AI92" s="9751"/>
      <c r="AJ92" s="9751"/>
      <c r="AK92" s="9751"/>
      <c r="AL92" s="9751"/>
      <c r="AM92" s="9751"/>
      <c r="AN92" s="9751"/>
      <c r="AO92" s="9751"/>
      <c r="AP92" s="9751"/>
      <c r="AQ92" s="9751"/>
      <c r="AR92" s="9751"/>
      <c r="AS92" s="9751"/>
      <c r="AT92" s="9751"/>
      <c r="AU92" s="9751"/>
      <c r="AV92" s="9751"/>
      <c r="AW92" s="9751"/>
      <c r="AX92" s="9751"/>
      <c r="AY92" s="9751"/>
      <c r="AZ92" s="9751"/>
      <c r="BA92" s="9751"/>
      <c r="BB92" s="9751"/>
      <c r="BC92" s="9751"/>
      <c r="BD92" s="9751"/>
      <c r="BE92" s="9751"/>
      <c r="BF92" s="9751"/>
      <c r="BG92" s="9751"/>
      <c r="BH92" s="9751"/>
      <c r="BI92" s="9751"/>
      <c r="BJ92" s="9751"/>
      <c r="BK92" s="9751"/>
      <c r="BL92" s="9751"/>
      <c r="BM92" s="9751"/>
      <c r="BN92" s="9751"/>
      <c r="BO92" s="9751"/>
      <c r="BP92" s="9751"/>
      <c r="BQ92" s="9751"/>
      <c r="BR92" s="9751"/>
      <c r="BS92" s="9751"/>
      <c r="BT92" s="9751"/>
      <c r="BU92" s="9751"/>
      <c r="BV92" s="9751"/>
      <c r="BW92" s="9751"/>
      <c r="BX92" s="9751"/>
      <c r="BY92" s="9751"/>
      <c r="BZ92" s="9751"/>
      <c r="CA92" s="9751"/>
      <c r="CB92" s="9751"/>
      <c r="CC92" s="9751"/>
      <c r="CD92" s="9751"/>
      <c r="CE92" s="9751"/>
      <c r="CF92" s="9751"/>
      <c r="CG92" s="9751"/>
      <c r="CH92" s="9751"/>
      <c r="CI92" s="9751"/>
      <c r="CJ92" s="9751"/>
      <c r="CK92" s="9751"/>
      <c r="CL92" s="9751"/>
      <c r="CM92" s="9751"/>
      <c r="CN92" s="9751"/>
      <c r="CO92" s="9751"/>
      <c r="CP92" s="9751"/>
      <c r="CQ92" s="9751"/>
      <c r="CR92" s="9751"/>
      <c r="CS92" s="9751"/>
      <c r="CT92" s="10418"/>
      <c r="CU92" s="9751"/>
      <c r="CV92" s="9751"/>
      <c r="CW92" s="9751"/>
      <c r="CX92" s="9751"/>
      <c r="CY92" s="9751"/>
      <c r="CZ92" s="9751"/>
      <c r="DA92" s="9751"/>
      <c r="DB92" s="9751"/>
      <c r="DC92" s="9751"/>
      <c r="DD92" s="9751"/>
      <c r="DE92" s="9751"/>
      <c r="DF92" s="9751"/>
      <c r="DG92" s="9751"/>
      <c r="DH92" s="9751"/>
      <c r="DI92" s="9751"/>
      <c r="DJ92" s="9751"/>
      <c r="DK92" s="9751"/>
      <c r="DL92" s="9751"/>
      <c r="DM92" s="9751"/>
      <c r="DN92" s="9751"/>
      <c r="DO92" s="9751"/>
      <c r="DP92" s="9751"/>
      <c r="DQ92" s="9751"/>
      <c r="DR92" s="9751"/>
      <c r="DS92" s="9769"/>
      <c r="DT92" s="10065"/>
      <c r="DU92" s="10065" t="str">
        <f>IF(T92="","",T92)</f>
        <v>Добавить централизованную систему для дифференциации</v>
      </c>
      <c r="DV92" s="10065"/>
      <c r="DW92" s="10065"/>
    </row>
    <row s="18800" customFormat="1" customHeight="1" ht="23.25">
      <c r="A93" s="10052"/>
      <c r="B93" s="10052" t="s">
        <v>323</v>
      </c>
      <c r="C93" s="10052"/>
      <c r="D93" s="10052"/>
      <c r="E93" s="10053"/>
      <c r="F93" s="10054" t="s">
        <v>88</v>
      </c>
      <c r="G93" s="10052"/>
      <c r="H93" s="10052"/>
      <c r="I93" s="10052"/>
      <c r="J93" s="10052"/>
      <c r="K93" s="10052"/>
      <c r="L93" s="10055"/>
      <c r="M93" s="10056"/>
      <c r="N93" s="10056"/>
      <c r="O93" s="10056"/>
      <c r="P93" s="10057"/>
      <c r="Q93" s="10058"/>
      <c r="R93" s="10059"/>
      <c r="S93" s="10060" t="str">
        <f>INDEX(PT_DIFFERENTIATION_NUM_TER,MATCH(B93,PT_DIFFERENTIATION_TER_ID,0))</f>
        <v>1.6</v>
      </c>
      <c r="T93" s="10061" t="s">
        <v>503</v>
      </c>
      <c r="U93" s="10062"/>
      <c r="V93" s="9494"/>
      <c r="W93" s="9495"/>
      <c r="X93" s="9495"/>
      <c r="Y93" s="9495"/>
      <c r="Z93" s="9495"/>
      <c r="AA93" s="9495"/>
      <c r="AB93" s="9495"/>
      <c r="AC93" s="9495"/>
      <c r="AD93" s="9495"/>
      <c r="AE93" s="9495"/>
      <c r="AF93" s="9496"/>
      <c r="AG93" s="9494" t="str">
        <f>INDEX(PT_DIFFERENTIATION_TER,MATCH(B93,PT_DIFFERENTIATION_TER_ID,0))</f>
        <v>Территория 6</v>
      </c>
      <c r="AH93" s="9495"/>
      <c r="AI93" s="9495"/>
      <c r="AJ93" s="9495"/>
      <c r="AK93" s="9495"/>
      <c r="AL93" s="9495"/>
      <c r="AM93" s="9495"/>
      <c r="AN93" s="9495"/>
      <c r="AO93" s="9495"/>
      <c r="AP93" s="9495"/>
      <c r="AQ93" s="9495"/>
      <c r="AR93" s="9494"/>
      <c r="AS93" s="9495"/>
      <c r="AT93" s="9495"/>
      <c r="AU93" s="9495"/>
      <c r="AV93" s="9495"/>
      <c r="AW93" s="9495"/>
      <c r="AX93" s="9495"/>
      <c r="AY93" s="9495"/>
      <c r="AZ93" s="9495"/>
      <c r="BA93" s="9495"/>
      <c r="BB93" s="9496"/>
      <c r="BC93" s="9494"/>
      <c r="BD93" s="9495"/>
      <c r="BE93" s="9495"/>
      <c r="BF93" s="9495"/>
      <c r="BG93" s="9495"/>
      <c r="BH93" s="9495"/>
      <c r="BI93" s="9495"/>
      <c r="BJ93" s="9495"/>
      <c r="BK93" s="9495"/>
      <c r="BL93" s="9495"/>
      <c r="BM93" s="9496"/>
      <c r="BN93" s="9494"/>
      <c r="BO93" s="9495"/>
      <c r="BP93" s="9495"/>
      <c r="BQ93" s="9495"/>
      <c r="BR93" s="9495"/>
      <c r="BS93" s="9495"/>
      <c r="BT93" s="9495"/>
      <c r="BU93" s="9495"/>
      <c r="BV93" s="9495"/>
      <c r="BW93" s="9495"/>
      <c r="BX93" s="9496"/>
      <c r="BY93" s="9494"/>
      <c r="BZ93" s="9495"/>
      <c r="CA93" s="9495"/>
      <c r="CB93" s="9495"/>
      <c r="CC93" s="9495"/>
      <c r="CD93" s="9495"/>
      <c r="CE93" s="9495"/>
      <c r="CF93" s="9495"/>
      <c r="CG93" s="9495"/>
      <c r="CH93" s="9495"/>
      <c r="CI93" s="9496"/>
      <c r="CJ93" s="9494"/>
      <c r="CK93" s="9495"/>
      <c r="CL93" s="9495"/>
      <c r="CM93" s="9495"/>
      <c r="CN93" s="9495"/>
      <c r="CO93" s="9495"/>
      <c r="CP93" s="9495"/>
      <c r="CQ93" s="9495"/>
      <c r="CR93" s="9495"/>
      <c r="CS93" s="9495"/>
      <c r="CT93" s="10063"/>
      <c r="CU93" s="9494"/>
      <c r="CV93" s="9495"/>
      <c r="CW93" s="9495"/>
      <c r="CX93" s="9495"/>
      <c r="CY93" s="9495"/>
      <c r="CZ93" s="9495"/>
      <c r="DA93" s="9495"/>
      <c r="DB93" s="9495"/>
      <c r="DC93" s="9495"/>
      <c r="DD93" s="9495"/>
      <c r="DE93" s="9496"/>
      <c r="DF93" s="9494"/>
      <c r="DG93" s="9495"/>
      <c r="DH93" s="9495"/>
      <c r="DI93" s="9495"/>
      <c r="DJ93" s="9495"/>
      <c r="DK93" s="9495"/>
      <c r="DL93" s="9495"/>
      <c r="DM93" s="9495"/>
      <c r="DN93" s="9495"/>
      <c r="DO93" s="9495"/>
      <c r="DP93" s="9496"/>
      <c r="DQ93" s="9496"/>
      <c r="DR93" s="10064" t="s">
        <v>504</v>
      </c>
      <c r="DS93" s="9769"/>
      <c r="DT93" s="10065"/>
      <c r="DU93" s="10065" t="str">
        <f>IF(T93="","",T93)</f>
        <v>Территория действия тарифа</v>
      </c>
      <c r="DV93" s="10065"/>
      <c r="DW93" s="10065"/>
    </row>
    <row s="18801" customFormat="1" customHeight="1" ht="23.25">
      <c r="A94" s="10052"/>
      <c r="B94" s="10052"/>
      <c r="C94" s="10052" t="s">
        <v>324</v>
      </c>
      <c r="D94" s="10052"/>
      <c r="E94" s="10053"/>
      <c r="F94" s="10053" t="s">
        <v>113</v>
      </c>
      <c r="G94" s="10054">
        <v>1</v>
      </c>
      <c r="H94" s="10052"/>
      <c r="I94" s="10052"/>
      <c r="J94" s="10052"/>
      <c r="K94" s="10052"/>
      <c r="L94" s="10055"/>
      <c r="M94" s="10056"/>
      <c r="N94" s="10056"/>
      <c r="O94" s="10056"/>
      <c r="P94" s="10067"/>
      <c r="Q94" s="10058"/>
      <c r="R94" s="10059"/>
      <c r="S94" s="10060" t="str">
        <f>INDEX(PT_DIFFERENTIATION_NUM_CS,MATCH(C94,PT_DIFFERENTIATION_CS_ID,0))</f>
        <v>1.6.1</v>
      </c>
      <c r="T94" s="10068" t="s">
        <v>634</v>
      </c>
      <c r="U94" s="10062"/>
      <c r="V94" s="9494"/>
      <c r="W94" s="9495"/>
      <c r="X94" s="9495"/>
      <c r="Y94" s="9495"/>
      <c r="Z94" s="9495"/>
      <c r="AA94" s="9495"/>
      <c r="AB94" s="9495"/>
      <c r="AC94" s="9495"/>
      <c r="AD94" s="9495"/>
      <c r="AE94" s="9495"/>
      <c r="AF94" s="9496"/>
      <c r="AG94" s="9494" t="str">
        <f>INDEX(PT_DIFFERENTIATION_CS,MATCH(C94,PT_DIFFERENTIATION_CS_ID,0))</f>
        <v>г. Дальнереченск</v>
      </c>
      <c r="AH94" s="9495"/>
      <c r="AI94" s="9495"/>
      <c r="AJ94" s="9495"/>
      <c r="AK94" s="9495"/>
      <c r="AL94" s="9495"/>
      <c r="AM94" s="9495"/>
      <c r="AN94" s="9495"/>
      <c r="AO94" s="9495"/>
      <c r="AP94" s="9495"/>
      <c r="AQ94" s="9495"/>
      <c r="AR94" s="9494"/>
      <c r="AS94" s="9495"/>
      <c r="AT94" s="9495"/>
      <c r="AU94" s="9495"/>
      <c r="AV94" s="9495"/>
      <c r="AW94" s="9495"/>
      <c r="AX94" s="9495"/>
      <c r="AY94" s="9495"/>
      <c r="AZ94" s="9495"/>
      <c r="BA94" s="9495"/>
      <c r="BB94" s="9496"/>
      <c r="BC94" s="9494"/>
      <c r="BD94" s="9495"/>
      <c r="BE94" s="9495"/>
      <c r="BF94" s="9495"/>
      <c r="BG94" s="9495"/>
      <c r="BH94" s="9495"/>
      <c r="BI94" s="9495"/>
      <c r="BJ94" s="9495"/>
      <c r="BK94" s="9495"/>
      <c r="BL94" s="9495"/>
      <c r="BM94" s="9496"/>
      <c r="BN94" s="9494"/>
      <c r="BO94" s="9495"/>
      <c r="BP94" s="9495"/>
      <c r="BQ94" s="9495"/>
      <c r="BR94" s="9495"/>
      <c r="BS94" s="9495"/>
      <c r="BT94" s="9495"/>
      <c r="BU94" s="9495"/>
      <c r="BV94" s="9495"/>
      <c r="BW94" s="9495"/>
      <c r="BX94" s="9496"/>
      <c r="BY94" s="9494"/>
      <c r="BZ94" s="9495"/>
      <c r="CA94" s="9495"/>
      <c r="CB94" s="9495"/>
      <c r="CC94" s="9495"/>
      <c r="CD94" s="9495"/>
      <c r="CE94" s="9495"/>
      <c r="CF94" s="9495"/>
      <c r="CG94" s="9495"/>
      <c r="CH94" s="9495"/>
      <c r="CI94" s="9496"/>
      <c r="CJ94" s="9494"/>
      <c r="CK94" s="9495"/>
      <c r="CL94" s="9495"/>
      <c r="CM94" s="9495"/>
      <c r="CN94" s="9495"/>
      <c r="CO94" s="9495"/>
      <c r="CP94" s="9495"/>
      <c r="CQ94" s="9495"/>
      <c r="CR94" s="9495"/>
      <c r="CS94" s="9495"/>
      <c r="CT94" s="10063"/>
      <c r="CU94" s="9494"/>
      <c r="CV94" s="9495"/>
      <c r="CW94" s="9495"/>
      <c r="CX94" s="9495"/>
      <c r="CY94" s="9495"/>
      <c r="CZ94" s="9495"/>
      <c r="DA94" s="9495"/>
      <c r="DB94" s="9495"/>
      <c r="DC94" s="9495"/>
      <c r="DD94" s="9495"/>
      <c r="DE94" s="9496"/>
      <c r="DF94" s="9494"/>
      <c r="DG94" s="9495"/>
      <c r="DH94" s="9495"/>
      <c r="DI94" s="9495"/>
      <c r="DJ94" s="9495"/>
      <c r="DK94" s="9495"/>
      <c r="DL94" s="9495"/>
      <c r="DM94" s="9495"/>
      <c r="DN94" s="9495"/>
      <c r="DO94" s="9495"/>
      <c r="DP94" s="9496"/>
      <c r="DQ94" s="9496"/>
      <c r="DR94" s="10064" t="s">
        <v>635</v>
      </c>
      <c r="DS94" s="9769"/>
      <c r="DT94" s="10065"/>
      <c r="DU94" s="10065" t="str">
        <f>IF(T94="","",T94)</f>
        <v>Наименование централизованной системы горячего водоснабжения</v>
      </c>
      <c r="DV94" s="10065"/>
      <c r="DW94" s="10065"/>
    </row>
    <row s="18802" customFormat="1" customHeight="1" ht="23.25">
      <c r="A95" s="10052"/>
      <c r="B95" s="10052"/>
      <c r="C95" s="10052"/>
      <c r="D95" s="10052"/>
      <c r="E95" s="10053"/>
      <c r="F95" s="10053" t="s">
        <v>113</v>
      </c>
      <c r="G95" s="10053"/>
      <c r="H95" s="10053"/>
      <c r="I95" s="10070" t="str">
        <f>S94&amp;".1"</f>
        <v>1.6.1.1</v>
      </c>
      <c r="J95" s="10052"/>
      <c r="K95" s="10052"/>
      <c r="L95" s="10055"/>
      <c r="M95" s="10071"/>
      <c r="N95" s="10071"/>
      <c r="O95" s="10071"/>
      <c r="P95" s="10072">
        <v>1</v>
      </c>
      <c r="Q95" s="10072"/>
      <c r="R95" s="10073"/>
      <c r="S95" s="10060" t="str">
        <f>$I95</f>
        <v>1.6.1.1</v>
      </c>
      <c r="T95" s="10074" t="s">
        <v>587</v>
      </c>
      <c r="U95" s="10062"/>
      <c r="V95" s="9500"/>
      <c r="W95" s="9501"/>
      <c r="X95" s="9501"/>
      <c r="Y95" s="9501"/>
      <c r="Z95" s="9501"/>
      <c r="AA95" s="9501"/>
      <c r="AB95" s="9501"/>
      <c r="AC95" s="9501"/>
      <c r="AD95" s="9501"/>
      <c r="AE95" s="9501"/>
      <c r="AF95" s="9502"/>
      <c r="AG95" s="10075"/>
      <c r="AH95" s="10076"/>
      <c r="AI95" s="10076"/>
      <c r="AJ95" s="10076"/>
      <c r="AK95" s="10076"/>
      <c r="AL95" s="10076"/>
      <c r="AM95" s="10076"/>
      <c r="AN95" s="10076"/>
      <c r="AO95" s="10076"/>
      <c r="AP95" s="10076"/>
      <c r="AQ95" s="10076"/>
      <c r="AR95" s="9500"/>
      <c r="AS95" s="9501"/>
      <c r="AT95" s="9501"/>
      <c r="AU95" s="9501"/>
      <c r="AV95" s="9501"/>
      <c r="AW95" s="9501"/>
      <c r="AX95" s="9501"/>
      <c r="AY95" s="9501"/>
      <c r="AZ95" s="9501"/>
      <c r="BA95" s="9501"/>
      <c r="BB95" s="9502"/>
      <c r="BC95" s="9500"/>
      <c r="BD95" s="9501"/>
      <c r="BE95" s="9501"/>
      <c r="BF95" s="9501"/>
      <c r="BG95" s="9501"/>
      <c r="BH95" s="9501"/>
      <c r="BI95" s="9501"/>
      <c r="BJ95" s="9501"/>
      <c r="BK95" s="9501"/>
      <c r="BL95" s="9501"/>
      <c r="BM95" s="9502"/>
      <c r="BN95" s="9500"/>
      <c r="BO95" s="9501"/>
      <c r="BP95" s="9501"/>
      <c r="BQ95" s="9501"/>
      <c r="BR95" s="9501"/>
      <c r="BS95" s="9501"/>
      <c r="BT95" s="9501"/>
      <c r="BU95" s="9501"/>
      <c r="BV95" s="9501"/>
      <c r="BW95" s="9501"/>
      <c r="BX95" s="9502"/>
      <c r="BY95" s="9500"/>
      <c r="BZ95" s="9501"/>
      <c r="CA95" s="9501"/>
      <c r="CB95" s="9501"/>
      <c r="CC95" s="9501"/>
      <c r="CD95" s="9501"/>
      <c r="CE95" s="9501"/>
      <c r="CF95" s="9501"/>
      <c r="CG95" s="9501"/>
      <c r="CH95" s="9501"/>
      <c r="CI95" s="9502"/>
      <c r="CJ95" s="9500"/>
      <c r="CK95" s="9501"/>
      <c r="CL95" s="9501"/>
      <c r="CM95" s="9501"/>
      <c r="CN95" s="9501"/>
      <c r="CO95" s="9501"/>
      <c r="CP95" s="9501"/>
      <c r="CQ95" s="9501"/>
      <c r="CR95" s="9501"/>
      <c r="CS95" s="9501"/>
      <c r="CT95" s="10077"/>
      <c r="CU95" s="9500"/>
      <c r="CV95" s="9501"/>
      <c r="CW95" s="9501"/>
      <c r="CX95" s="9501"/>
      <c r="CY95" s="9501"/>
      <c r="CZ95" s="9501"/>
      <c r="DA95" s="9501"/>
      <c r="DB95" s="9501"/>
      <c r="DC95" s="9501"/>
      <c r="DD95" s="9501"/>
      <c r="DE95" s="9502"/>
      <c r="DF95" s="9500"/>
      <c r="DG95" s="9501"/>
      <c r="DH95" s="9501"/>
      <c r="DI95" s="9501"/>
      <c r="DJ95" s="9501"/>
      <c r="DK95" s="9501"/>
      <c r="DL95" s="9501"/>
      <c r="DM95" s="9501"/>
      <c r="DN95" s="9501"/>
      <c r="DO95" s="9501"/>
      <c r="DP95" s="9502"/>
      <c r="DQ95" s="10078"/>
      <c r="DR95" s="10064" t="s">
        <v>588</v>
      </c>
      <c r="DS95" s="9769"/>
      <c r="DT95" s="10065"/>
      <c r="DU95" s="10065" t="str">
        <f>IF(T95="","",T95)</f>
        <v>Наименование признака дифференциации</v>
      </c>
      <c r="DV95" s="10065"/>
      <c r="DW95" s="10065"/>
    </row>
    <row s="18803" customFormat="1" customHeight="1" ht="23.25">
      <c r="A96" s="10052"/>
      <c r="B96" s="10052"/>
      <c r="C96" s="10052"/>
      <c r="D96" s="10052"/>
      <c r="E96" s="10053"/>
      <c r="F96" s="10053" t="s">
        <v>113</v>
      </c>
      <c r="G96" s="10053"/>
      <c r="H96" s="10053"/>
      <c r="I96" s="10080"/>
      <c r="J96" s="10070" t="str">
        <f>I95&amp;".1"</f>
        <v>1.6.1.1.1</v>
      </c>
      <c r="K96" s="10052"/>
      <c r="L96" s="10055" t="s">
        <v>512</v>
      </c>
      <c r="M96" s="10071"/>
      <c r="N96" s="10071"/>
      <c r="O96" s="10071"/>
      <c r="P96" s="10072"/>
      <c r="Q96" s="10072">
        <v>1</v>
      </c>
      <c r="R96" s="10081"/>
      <c r="S96" s="10060" t="str">
        <f>$J96</f>
        <v>1.6.1.1.1</v>
      </c>
      <c r="T96" s="10082" t="s">
        <v>513</v>
      </c>
      <c r="U96" s="10062"/>
      <c r="V96" s="9506"/>
      <c r="W96" s="9507"/>
      <c r="X96" s="9507"/>
      <c r="Y96" s="9507"/>
      <c r="Z96" s="9507"/>
      <c r="AA96" s="9507"/>
      <c r="AB96" s="9507"/>
      <c r="AC96" s="9507"/>
      <c r="AD96" s="9507"/>
      <c r="AE96" s="9507"/>
      <c r="AF96" s="9508"/>
      <c r="AG96" s="9506" t="s">
        <v>647</v>
      </c>
      <c r="AH96" s="9507"/>
      <c r="AI96" s="9507"/>
      <c r="AJ96" s="9507"/>
      <c r="AK96" s="9507"/>
      <c r="AL96" s="9507"/>
      <c r="AM96" s="9507"/>
      <c r="AN96" s="9507"/>
      <c r="AO96" s="9507"/>
      <c r="AP96" s="9507"/>
      <c r="AQ96" s="9507"/>
      <c r="AR96" s="9506"/>
      <c r="AS96" s="9507"/>
      <c r="AT96" s="9507"/>
      <c r="AU96" s="9507"/>
      <c r="AV96" s="9507"/>
      <c r="AW96" s="9507"/>
      <c r="AX96" s="9507"/>
      <c r="AY96" s="9507"/>
      <c r="AZ96" s="9507"/>
      <c r="BA96" s="9507"/>
      <c r="BB96" s="9508"/>
      <c r="BC96" s="9506"/>
      <c r="BD96" s="9507"/>
      <c r="BE96" s="9507"/>
      <c r="BF96" s="9507"/>
      <c r="BG96" s="9507"/>
      <c r="BH96" s="9507"/>
      <c r="BI96" s="9507"/>
      <c r="BJ96" s="9507"/>
      <c r="BK96" s="9507"/>
      <c r="BL96" s="9507"/>
      <c r="BM96" s="9508"/>
      <c r="BN96" s="9506"/>
      <c r="BO96" s="9507"/>
      <c r="BP96" s="9507"/>
      <c r="BQ96" s="9507"/>
      <c r="BR96" s="9507"/>
      <c r="BS96" s="9507"/>
      <c r="BT96" s="9507"/>
      <c r="BU96" s="9507"/>
      <c r="BV96" s="9507"/>
      <c r="BW96" s="9507"/>
      <c r="BX96" s="9508"/>
      <c r="BY96" s="9506"/>
      <c r="BZ96" s="9507"/>
      <c r="CA96" s="9507"/>
      <c r="CB96" s="9507"/>
      <c r="CC96" s="9507"/>
      <c r="CD96" s="9507"/>
      <c r="CE96" s="9507"/>
      <c r="CF96" s="9507"/>
      <c r="CG96" s="9507"/>
      <c r="CH96" s="9507"/>
      <c r="CI96" s="9508"/>
      <c r="CJ96" s="9506"/>
      <c r="CK96" s="9507"/>
      <c r="CL96" s="9507"/>
      <c r="CM96" s="9507"/>
      <c r="CN96" s="9507"/>
      <c r="CO96" s="9507"/>
      <c r="CP96" s="9507"/>
      <c r="CQ96" s="9507"/>
      <c r="CR96" s="9507"/>
      <c r="CS96" s="9507"/>
      <c r="CT96" s="10083"/>
      <c r="CU96" s="9506"/>
      <c r="CV96" s="9507"/>
      <c r="CW96" s="9507"/>
      <c r="CX96" s="9507"/>
      <c r="CY96" s="9507"/>
      <c r="CZ96" s="9507"/>
      <c r="DA96" s="9507"/>
      <c r="DB96" s="9507"/>
      <c r="DC96" s="9507"/>
      <c r="DD96" s="9507"/>
      <c r="DE96" s="9508"/>
      <c r="DF96" s="9506"/>
      <c r="DG96" s="9507"/>
      <c r="DH96" s="9507"/>
      <c r="DI96" s="9507"/>
      <c r="DJ96" s="9507"/>
      <c r="DK96" s="9507"/>
      <c r="DL96" s="9507"/>
      <c r="DM96" s="9507"/>
      <c r="DN96" s="9507"/>
      <c r="DO96" s="9507"/>
      <c r="DP96" s="9508"/>
      <c r="DQ96" s="9508"/>
      <c r="DR96" s="10084" t="s">
        <v>589</v>
      </c>
      <c r="DS96" s="9769"/>
      <c r="DT96" s="10065"/>
      <c r="DU96" s="10065" t="str">
        <f>IF(T96="","",T96)</f>
        <v>Группа потребителей</v>
      </c>
      <c r="DV96" s="10065"/>
      <c r="DW96" s="10065"/>
    </row>
    <row s="18804" customFormat="1" customHeight="1" ht="23.25">
      <c r="A97" s="10052"/>
      <c r="B97" s="10052"/>
      <c r="C97" s="10052"/>
      <c r="D97" s="10052"/>
      <c r="E97" s="10053"/>
      <c r="F97" s="10053" t="s">
        <v>113</v>
      </c>
      <c r="G97" s="10053"/>
      <c r="H97" s="10053"/>
      <c r="I97" s="10080"/>
      <c r="J97" s="10080"/>
      <c r="K97" s="10070" t="str">
        <f>J96&amp;".1"</f>
        <v>1.6.1.1.1.1</v>
      </c>
      <c r="L97" s="10055"/>
      <c r="M97" s="10071"/>
      <c r="N97" s="10071"/>
      <c r="O97" s="10071"/>
      <c r="P97" s="10072"/>
      <c r="Q97" s="10072"/>
      <c r="R97" s="10081">
        <v>1</v>
      </c>
      <c r="S97" s="10060" t="str">
        <f>$K97</f>
        <v>1.6.1.1.1.1</v>
      </c>
      <c r="T97" s="10086"/>
      <c r="U97" s="10062"/>
      <c r="V97" s="9512"/>
      <c r="W97" s="9512"/>
      <c r="X97" s="9512"/>
      <c r="Y97" s="9512"/>
      <c r="Z97" s="9512"/>
      <c r="AA97" s="9512"/>
      <c r="AB97" s="9512"/>
      <c r="AC97" s="9513"/>
      <c r="AD97" s="9514" t="s">
        <v>63</v>
      </c>
      <c r="AE97" s="9513"/>
      <c r="AF97" s="9514" t="s">
        <v>63</v>
      </c>
      <c r="AG97" s="9512">
        <v>421.02</v>
      </c>
      <c r="AH97" s="9512"/>
      <c r="AI97" s="9512"/>
      <c r="AJ97" s="9512"/>
      <c r="AK97" s="9512"/>
      <c r="AL97" s="9512"/>
      <c r="AM97" s="9512"/>
      <c r="AN97" s="9513">
        <v>45658.61127314815</v>
      </c>
      <c r="AO97" s="9514" t="s">
        <v>63</v>
      </c>
      <c r="AP97" s="9817">
        <v>45838.61138888889</v>
      </c>
      <c r="AQ97" s="9514" t="s">
        <v>63</v>
      </c>
      <c r="AR97" s="9512">
        <v>594.9</v>
      </c>
      <c r="AS97" s="9512"/>
      <c r="AT97" s="9512"/>
      <c r="AU97" s="9512"/>
      <c r="AV97" s="9512"/>
      <c r="AW97" s="9512"/>
      <c r="AX97" s="9512"/>
      <c r="AY97" s="9513">
        <v>45839.61236111111</v>
      </c>
      <c r="AZ97" s="9514" t="s">
        <v>63</v>
      </c>
      <c r="BA97" s="9513">
        <v>46022.612488425926</v>
      </c>
      <c r="BB97" s="9514" t="s">
        <v>63</v>
      </c>
      <c r="BC97" s="9512">
        <v>594.9</v>
      </c>
      <c r="BD97" s="9512"/>
      <c r="BE97" s="9512"/>
      <c r="BF97" s="9512"/>
      <c r="BG97" s="9512"/>
      <c r="BH97" s="9512"/>
      <c r="BI97" s="9512"/>
      <c r="BJ97" s="9513">
        <v>46023.626076388886</v>
      </c>
      <c r="BK97" s="9514" t="s">
        <v>63</v>
      </c>
      <c r="BL97" s="9513">
        <v>46203.626226851855</v>
      </c>
      <c r="BM97" s="9514" t="s">
        <v>63</v>
      </c>
      <c r="BN97" s="9512">
        <v>618.71</v>
      </c>
      <c r="BO97" s="9512"/>
      <c r="BP97" s="9512"/>
      <c r="BQ97" s="9512"/>
      <c r="BR97" s="9512"/>
      <c r="BS97" s="9512"/>
      <c r="BT97" s="9512"/>
      <c r="BU97" s="9513">
        <v>46204.6265162037</v>
      </c>
      <c r="BV97" s="9514" t="s">
        <v>63</v>
      </c>
      <c r="BW97" s="9513">
        <v>46387.62664351852</v>
      </c>
      <c r="BX97" s="9514" t="s">
        <v>63</v>
      </c>
      <c r="BY97" s="9512">
        <v>618.71</v>
      </c>
      <c r="BZ97" s="9512"/>
      <c r="CA97" s="9512"/>
      <c r="CB97" s="9512"/>
      <c r="CC97" s="9512"/>
      <c r="CD97" s="9512"/>
      <c r="CE97" s="9512"/>
      <c r="CF97" s="9513">
        <v>46388.626921296294</v>
      </c>
      <c r="CG97" s="9514" t="s">
        <v>63</v>
      </c>
      <c r="CH97" s="9513">
        <v>46568.627071759256</v>
      </c>
      <c r="CI97" s="9514" t="s">
        <v>63</v>
      </c>
      <c r="CJ97" s="9512">
        <v>643.45</v>
      </c>
      <c r="CK97" s="9512"/>
      <c r="CL97" s="9512"/>
      <c r="CM97" s="9512"/>
      <c r="CN97" s="9512"/>
      <c r="CO97" s="9512"/>
      <c r="CP97" s="9512"/>
      <c r="CQ97" s="9513">
        <v>46569.62850694444</v>
      </c>
      <c r="CR97" s="9514" t="s">
        <v>63</v>
      </c>
      <c r="CS97" s="9513">
        <v>46752.62868055556</v>
      </c>
      <c r="CT97" s="10087" t="s">
        <v>63</v>
      </c>
      <c r="CU97" s="9512">
        <v>643.45</v>
      </c>
      <c r="CV97" s="9512"/>
      <c r="CW97" s="9512"/>
      <c r="CX97" s="9512"/>
      <c r="CY97" s="9512"/>
      <c r="CZ97" s="9512"/>
      <c r="DA97" s="9512"/>
      <c r="DB97" s="9513">
        <v>46753.63111111111</v>
      </c>
      <c r="DC97" s="9514" t="s">
        <v>63</v>
      </c>
      <c r="DD97" s="9513">
        <v>46934.631273148145</v>
      </c>
      <c r="DE97" s="9514" t="s">
        <v>63</v>
      </c>
      <c r="DF97" s="9512">
        <v>669.19</v>
      </c>
      <c r="DG97" s="9512"/>
      <c r="DH97" s="9512"/>
      <c r="DI97" s="9512"/>
      <c r="DJ97" s="9512"/>
      <c r="DK97" s="9512"/>
      <c r="DL97" s="9512"/>
      <c r="DM97" s="9513">
        <v>46935.63182870371</v>
      </c>
      <c r="DN97" s="9514" t="s">
        <v>63</v>
      </c>
      <c r="DO97" s="9513">
        <v>47118.63195601852</v>
      </c>
      <c r="DP97" s="9514" t="s">
        <v>63</v>
      </c>
      <c r="DQ97" s="10088"/>
      <c r="DR97" s="100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S97" s="9769">
        <f>STRCHECKDATE(V98:DQ98)</f>
      </c>
      <c r="DT97" s="10065"/>
      <c r="DU97" s="10065" t="str">
        <f>IF(T97="","",T97)</f>
        <v/>
      </c>
      <c r="DV97" s="10065"/>
      <c r="DW97" s="10065"/>
    </row>
    <row s="18805" customFormat="1" customHeight="1" ht="14.25">
      <c r="A98" s="10052"/>
      <c r="B98" s="10052"/>
      <c r="C98" s="10052"/>
      <c r="D98" s="10052"/>
      <c r="E98" s="10053"/>
      <c r="F98" s="10053" t="s">
        <v>113</v>
      </c>
      <c r="G98" s="10053"/>
      <c r="H98" s="10053"/>
      <c r="I98" s="10080"/>
      <c r="J98" s="10080"/>
      <c r="K98" s="10070"/>
      <c r="L98" s="10055"/>
      <c r="M98" s="10071"/>
      <c r="N98" s="10071"/>
      <c r="O98" s="10071"/>
      <c r="P98" s="10072"/>
      <c r="Q98" s="10072"/>
      <c r="R98" s="10081"/>
      <c r="S98" s="10091"/>
      <c r="T98" s="10062"/>
      <c r="U98" s="10062"/>
      <c r="V98" s="9517"/>
      <c r="W98" s="9517"/>
      <c r="X98" s="9517"/>
      <c r="Y98" s="9517"/>
      <c r="Z98" s="9517"/>
      <c r="AA98" s="9517"/>
      <c r="AB98" s="9517"/>
      <c r="AC98" s="9518"/>
      <c r="AD98" s="9514"/>
      <c r="AE98" s="9518"/>
      <c r="AF98" s="9514"/>
      <c r="AG98" s="9517"/>
      <c r="AH98" s="9517"/>
      <c r="AI98" s="9517"/>
      <c r="AJ98" s="9517"/>
      <c r="AK98" s="9517"/>
      <c r="AL98" s="9517"/>
      <c r="AM98" s="9517"/>
      <c r="AN98" s="9518"/>
      <c r="AO98" s="9514"/>
      <c r="AP98" s="9819"/>
      <c r="AQ98" s="9514"/>
      <c r="AR98" s="9517"/>
      <c r="AS98" s="9517"/>
      <c r="AT98" s="9517"/>
      <c r="AU98" s="9517"/>
      <c r="AV98" s="9517"/>
      <c r="AW98" s="9517"/>
      <c r="AX98" s="9517"/>
      <c r="AY98" s="9518"/>
      <c r="AZ98" s="9514"/>
      <c r="BA98" s="9518"/>
      <c r="BB98" s="9514"/>
      <c r="BC98" s="9517"/>
      <c r="BD98" s="9517"/>
      <c r="BE98" s="9517"/>
      <c r="BF98" s="9517"/>
      <c r="BG98" s="9517"/>
      <c r="BH98" s="9517"/>
      <c r="BI98" s="9517"/>
      <c r="BJ98" s="9518"/>
      <c r="BK98" s="9514"/>
      <c r="BL98" s="9518"/>
      <c r="BM98" s="9514"/>
      <c r="BN98" s="9517"/>
      <c r="BO98" s="9517"/>
      <c r="BP98" s="9517"/>
      <c r="BQ98" s="9517"/>
      <c r="BR98" s="9517"/>
      <c r="BS98" s="9517"/>
      <c r="BT98" s="9517"/>
      <c r="BU98" s="9518"/>
      <c r="BV98" s="9514"/>
      <c r="BW98" s="9518"/>
      <c r="BX98" s="9514"/>
      <c r="BY98" s="9517"/>
      <c r="BZ98" s="9517"/>
      <c r="CA98" s="9517"/>
      <c r="CB98" s="9517"/>
      <c r="CC98" s="9517"/>
      <c r="CD98" s="9517"/>
      <c r="CE98" s="9517"/>
      <c r="CF98" s="9518"/>
      <c r="CG98" s="9514"/>
      <c r="CH98" s="9518"/>
      <c r="CI98" s="9514"/>
      <c r="CJ98" s="9517"/>
      <c r="CK98" s="9517"/>
      <c r="CL98" s="9517"/>
      <c r="CM98" s="9517"/>
      <c r="CN98" s="9517"/>
      <c r="CO98" s="9517"/>
      <c r="CP98" s="9517"/>
      <c r="CQ98" s="9518"/>
      <c r="CR98" s="9514"/>
      <c r="CS98" s="9518"/>
      <c r="CT98" s="10087"/>
      <c r="CU98" s="9517"/>
      <c r="CV98" s="9517"/>
      <c r="CW98" s="9517"/>
      <c r="CX98" s="9517"/>
      <c r="CY98" s="9517"/>
      <c r="CZ98" s="9517"/>
      <c r="DA98" s="9517"/>
      <c r="DB98" s="9518"/>
      <c r="DC98" s="9514"/>
      <c r="DD98" s="9518"/>
      <c r="DE98" s="9514"/>
      <c r="DF98" s="9517"/>
      <c r="DG98" s="9517"/>
      <c r="DH98" s="9517"/>
      <c r="DI98" s="9517"/>
      <c r="DJ98" s="9517"/>
      <c r="DK98" s="9517"/>
      <c r="DL98" s="9517"/>
      <c r="DM98" s="9518"/>
      <c r="DN98" s="9514"/>
      <c r="DO98" s="9518"/>
      <c r="DP98" s="9514"/>
      <c r="DQ98" s="10092"/>
      <c r="DR98" s="10089"/>
      <c r="DS98" s="9769"/>
      <c r="DT98" s="10065"/>
      <c r="DU98" s="10065" t="str">
        <f>IF(T98="","",T98)</f>
        <v/>
      </c>
      <c r="DV98" s="10065"/>
      <c r="DW98" s="10065"/>
    </row>
    <row s="18806" customFormat="1" customHeight="1" ht="21">
      <c r="A99" s="10052"/>
      <c r="B99" s="10052"/>
      <c r="C99" s="10052"/>
      <c r="D99" s="10052"/>
      <c r="E99" s="10053"/>
      <c r="F99" s="10053" t="s">
        <v>113</v>
      </c>
      <c r="G99" s="10053"/>
      <c r="H99" s="10053"/>
      <c r="I99" s="10080"/>
      <c r="J99" s="10070"/>
      <c r="K99" s="10052"/>
      <c r="L99" s="10055"/>
      <c r="M99" s="10071"/>
      <c r="N99" s="10071"/>
      <c r="O99" s="10071"/>
      <c r="P99" s="10072"/>
      <c r="Q99" s="10072"/>
      <c r="R99" s="10073"/>
      <c r="S99" s="11389"/>
      <c r="T99" s="11390" t="s">
        <v>590</v>
      </c>
      <c r="U99" s="11391"/>
      <c r="V99" s="11392"/>
      <c r="W99" s="11393"/>
      <c r="X99" s="11394"/>
      <c r="Y99" s="11395"/>
      <c r="Z99" s="11396"/>
      <c r="AA99" s="11397"/>
      <c r="AB99" s="11398"/>
      <c r="AC99" s="11399"/>
      <c r="AD99" s="11400"/>
      <c r="AE99" s="11401"/>
      <c r="AF99" s="11402"/>
      <c r="AG99" s="11403"/>
      <c r="AH99" s="11404"/>
      <c r="AI99" s="11405"/>
      <c r="AJ99" s="11406"/>
      <c r="AK99" s="11407"/>
      <c r="AL99" s="11408"/>
      <c r="AM99" s="11409"/>
      <c r="AN99" s="11410"/>
      <c r="AO99" s="11411"/>
      <c r="AP99" s="11412"/>
      <c r="AQ99" s="11413"/>
      <c r="AR99" s="11414"/>
      <c r="AS99" s="11415"/>
      <c r="AT99" s="11416"/>
      <c r="AU99" s="11417"/>
      <c r="AV99" s="11418"/>
      <c r="AW99" s="11419"/>
      <c r="AX99" s="11420"/>
      <c r="AY99" s="11421"/>
      <c r="AZ99" s="11422"/>
      <c r="BA99" s="11423"/>
      <c r="BB99" s="11424"/>
      <c r="BC99" s="11425"/>
      <c r="BD99" s="11426"/>
      <c r="BE99" s="11427"/>
      <c r="BF99" s="11428"/>
      <c r="BG99" s="11429"/>
      <c r="BH99" s="11430"/>
      <c r="BI99" s="11431"/>
      <c r="BJ99" s="11432"/>
      <c r="BK99" s="11433"/>
      <c r="BL99" s="11434"/>
      <c r="BM99" s="11435"/>
      <c r="BN99" s="11436"/>
      <c r="BO99" s="11437"/>
      <c r="BP99" s="11438"/>
      <c r="BQ99" s="11439"/>
      <c r="BR99" s="11440"/>
      <c r="BS99" s="11441"/>
      <c r="BT99" s="11442"/>
      <c r="BU99" s="11443"/>
      <c r="BV99" s="11444"/>
      <c r="BW99" s="11445"/>
      <c r="BX99" s="11446"/>
      <c r="BY99" s="11447"/>
      <c r="BZ99" s="11448"/>
      <c r="CA99" s="11449"/>
      <c r="CB99" s="11450"/>
      <c r="CC99" s="11451"/>
      <c r="CD99" s="11452"/>
      <c r="CE99" s="11453"/>
      <c r="CF99" s="11454"/>
      <c r="CG99" s="11455"/>
      <c r="CH99" s="11456"/>
      <c r="CI99" s="11457"/>
      <c r="CJ99" s="11458"/>
      <c r="CK99" s="11459"/>
      <c r="CL99" s="11460"/>
      <c r="CM99" s="11461"/>
      <c r="CN99" s="11462"/>
      <c r="CO99" s="11463"/>
      <c r="CP99" s="11464"/>
      <c r="CQ99" s="11465"/>
      <c r="CR99" s="11466"/>
      <c r="CS99" s="11467"/>
      <c r="CT99" s="11468"/>
      <c r="CU99" s="11469"/>
      <c r="CV99" s="11470"/>
      <c r="CW99" s="11471"/>
      <c r="CX99" s="11472"/>
      <c r="CY99" s="11473"/>
      <c r="CZ99" s="11474"/>
      <c r="DA99" s="11475"/>
      <c r="DB99" s="11476"/>
      <c r="DC99" s="11477"/>
      <c r="DD99" s="11478"/>
      <c r="DE99" s="11479"/>
      <c r="DF99" s="11480"/>
      <c r="DG99" s="11481"/>
      <c r="DH99" s="11482"/>
      <c r="DI99" s="11483"/>
      <c r="DJ99" s="11484"/>
      <c r="DK99" s="11485"/>
      <c r="DL99" s="11486"/>
      <c r="DM99" s="11487"/>
      <c r="DN99" s="11488"/>
      <c r="DO99" s="11489"/>
      <c r="DP99" s="11490"/>
      <c r="DQ99" s="11491"/>
      <c r="DR99" s="10064" t="s">
        <v>591</v>
      </c>
      <c r="DS99" s="9769"/>
      <c r="DT99" s="10065"/>
      <c r="DU99" s="10065" t="str">
        <f>IF(T99="","",T99)</f>
        <v>Добавить значение признака дифференциации</v>
      </c>
      <c r="DV99" s="10065"/>
      <c r="DW99" s="10065"/>
    </row>
    <row s="18910" customFormat="1" customHeight="1" ht="21">
      <c r="A100" s="10052"/>
      <c r="B100" s="10052"/>
      <c r="C100" s="10052"/>
      <c r="D100" s="10052"/>
      <c r="E100" s="10053"/>
      <c r="F100" s="10053" t="s">
        <v>113</v>
      </c>
      <c r="G100" s="10053"/>
      <c r="H100" s="10053"/>
      <c r="I100" s="10070"/>
      <c r="J100" s="10052"/>
      <c r="K100" s="10052"/>
      <c r="L100" s="10055"/>
      <c r="M100" s="10071"/>
      <c r="N100" s="10071"/>
      <c r="O100" s="10071"/>
      <c r="P100" s="10072"/>
      <c r="Q100" s="10072"/>
      <c r="R100" s="10073"/>
      <c r="S100" s="11493"/>
      <c r="T100" s="11494" t="s">
        <v>518</v>
      </c>
      <c r="U100" s="11495"/>
      <c r="V100" s="11496"/>
      <c r="W100" s="11497"/>
      <c r="X100" s="11498"/>
      <c r="Y100" s="11499"/>
      <c r="Z100" s="11500"/>
      <c r="AA100" s="11501"/>
      <c r="AB100" s="11502"/>
      <c r="AC100" s="11503"/>
      <c r="AD100" s="11504"/>
      <c r="AE100" s="11505"/>
      <c r="AF100" s="11506"/>
      <c r="AG100" s="11507"/>
      <c r="AH100" s="11508"/>
      <c r="AI100" s="11509"/>
      <c r="AJ100" s="11510"/>
      <c r="AK100" s="11511"/>
      <c r="AL100" s="11512"/>
      <c r="AM100" s="11513"/>
      <c r="AN100" s="11514"/>
      <c r="AO100" s="11515"/>
      <c r="AP100" s="11516"/>
      <c r="AQ100" s="11517"/>
      <c r="AR100" s="11518"/>
      <c r="AS100" s="11519"/>
      <c r="AT100" s="11520"/>
      <c r="AU100" s="11521"/>
      <c r="AV100" s="11522"/>
      <c r="AW100" s="11523"/>
      <c r="AX100" s="11524"/>
      <c r="AY100" s="11525"/>
      <c r="AZ100" s="11526"/>
      <c r="BA100" s="11527"/>
      <c r="BB100" s="11528"/>
      <c r="BC100" s="11529"/>
      <c r="BD100" s="11530"/>
      <c r="BE100" s="11531"/>
      <c r="BF100" s="11532"/>
      <c r="BG100" s="11533"/>
      <c r="BH100" s="11534"/>
      <c r="BI100" s="11535"/>
      <c r="BJ100" s="11536"/>
      <c r="BK100" s="11537"/>
      <c r="BL100" s="11538"/>
      <c r="BM100" s="11539"/>
      <c r="BN100" s="11540"/>
      <c r="BO100" s="11541"/>
      <c r="BP100" s="11542"/>
      <c r="BQ100" s="11543"/>
      <c r="BR100" s="11544"/>
      <c r="BS100" s="11545"/>
      <c r="BT100" s="11546"/>
      <c r="BU100" s="11547"/>
      <c r="BV100" s="11548"/>
      <c r="BW100" s="11549"/>
      <c r="BX100" s="11550"/>
      <c r="BY100" s="11551"/>
      <c r="BZ100" s="11552"/>
      <c r="CA100" s="11553"/>
      <c r="CB100" s="11554"/>
      <c r="CC100" s="11555"/>
      <c r="CD100" s="11556"/>
      <c r="CE100" s="11557"/>
      <c r="CF100" s="11558"/>
      <c r="CG100" s="11559"/>
      <c r="CH100" s="11560"/>
      <c r="CI100" s="11561"/>
      <c r="CJ100" s="11562"/>
      <c r="CK100" s="11563"/>
      <c r="CL100" s="11564"/>
      <c r="CM100" s="11565"/>
      <c r="CN100" s="11566"/>
      <c r="CO100" s="11567"/>
      <c r="CP100" s="11568"/>
      <c r="CQ100" s="11569"/>
      <c r="CR100" s="11570"/>
      <c r="CS100" s="11571"/>
      <c r="CT100" s="11572"/>
      <c r="CU100" s="11573"/>
      <c r="CV100" s="11574"/>
      <c r="CW100" s="11575"/>
      <c r="CX100" s="11576"/>
      <c r="CY100" s="11577"/>
      <c r="CZ100" s="11578"/>
      <c r="DA100" s="11579"/>
      <c r="DB100" s="11580"/>
      <c r="DC100" s="11581"/>
      <c r="DD100" s="11582"/>
      <c r="DE100" s="11583"/>
      <c r="DF100" s="11584"/>
      <c r="DG100" s="11585"/>
      <c r="DH100" s="11586"/>
      <c r="DI100" s="11587"/>
      <c r="DJ100" s="11588"/>
      <c r="DK100" s="11589"/>
      <c r="DL100" s="11590"/>
      <c r="DM100" s="11591"/>
      <c r="DN100" s="11592"/>
      <c r="DO100" s="11593"/>
      <c r="DP100" s="11594"/>
      <c r="DQ100" s="11595"/>
      <c r="DR100" s="11596"/>
      <c r="DS100" s="9769"/>
      <c r="DT100" s="10065"/>
      <c r="DU100" s="10065" t="str">
        <f>IF(T100="","",T100)</f>
        <v>Добавить группу потребителей</v>
      </c>
      <c r="DV100" s="10065"/>
      <c r="DW100" s="10065"/>
    </row>
    <row s="19015" customFormat="1" customHeight="1" ht="21">
      <c r="A101" s="10052"/>
      <c r="B101" s="10052"/>
      <c r="C101" s="10052"/>
      <c r="D101" s="10052"/>
      <c r="E101" s="10053"/>
      <c r="F101" s="10053" t="s">
        <v>113</v>
      </c>
      <c r="G101" s="10053"/>
      <c r="H101" s="10054"/>
      <c r="I101" s="10052"/>
      <c r="J101" s="10052"/>
      <c r="K101" s="10052"/>
      <c r="L101" s="10055"/>
      <c r="M101" s="10056"/>
      <c r="N101" s="10056"/>
      <c r="O101" s="9754"/>
      <c r="P101" s="10303"/>
      <c r="Q101" s="10304"/>
      <c r="R101" s="10305"/>
      <c r="S101" s="11598"/>
      <c r="T101" s="11599" t="s">
        <v>592</v>
      </c>
      <c r="U101" s="11600"/>
      <c r="V101" s="11601"/>
      <c r="W101" s="11602"/>
      <c r="X101" s="11603"/>
      <c r="Y101" s="11604"/>
      <c r="Z101" s="11605"/>
      <c r="AA101" s="11606"/>
      <c r="AB101" s="11607"/>
      <c r="AC101" s="11608"/>
      <c r="AD101" s="11609"/>
      <c r="AE101" s="11610"/>
      <c r="AF101" s="11611"/>
      <c r="AG101" s="11612"/>
      <c r="AH101" s="11613"/>
      <c r="AI101" s="11614"/>
      <c r="AJ101" s="11615"/>
      <c r="AK101" s="11616"/>
      <c r="AL101" s="11617"/>
      <c r="AM101" s="11618"/>
      <c r="AN101" s="11619"/>
      <c r="AO101" s="11620"/>
      <c r="AP101" s="11621"/>
      <c r="AQ101" s="11622"/>
      <c r="AR101" s="11623"/>
      <c r="AS101" s="11624"/>
      <c r="AT101" s="11625"/>
      <c r="AU101" s="11626"/>
      <c r="AV101" s="11627"/>
      <c r="AW101" s="11628"/>
      <c r="AX101" s="11629"/>
      <c r="AY101" s="11630"/>
      <c r="AZ101" s="11631"/>
      <c r="BA101" s="11632"/>
      <c r="BB101" s="11633"/>
      <c r="BC101" s="11634"/>
      <c r="BD101" s="11635"/>
      <c r="BE101" s="11636"/>
      <c r="BF101" s="11637"/>
      <c r="BG101" s="11638"/>
      <c r="BH101" s="11639"/>
      <c r="BI101" s="11640"/>
      <c r="BJ101" s="11641"/>
      <c r="BK101" s="11642"/>
      <c r="BL101" s="11643"/>
      <c r="BM101" s="11644"/>
      <c r="BN101" s="11645"/>
      <c r="BO101" s="11646"/>
      <c r="BP101" s="11647"/>
      <c r="BQ101" s="11648"/>
      <c r="BR101" s="11649"/>
      <c r="BS101" s="11650"/>
      <c r="BT101" s="11651"/>
      <c r="BU101" s="11652"/>
      <c r="BV101" s="11653"/>
      <c r="BW101" s="11654"/>
      <c r="BX101" s="11655"/>
      <c r="BY101" s="11656"/>
      <c r="BZ101" s="11657"/>
      <c r="CA101" s="11658"/>
      <c r="CB101" s="11659"/>
      <c r="CC101" s="11660"/>
      <c r="CD101" s="11661"/>
      <c r="CE101" s="11662"/>
      <c r="CF101" s="11663"/>
      <c r="CG101" s="11664"/>
      <c r="CH101" s="11665"/>
      <c r="CI101" s="11666"/>
      <c r="CJ101" s="11667"/>
      <c r="CK101" s="11668"/>
      <c r="CL101" s="11669"/>
      <c r="CM101" s="11670"/>
      <c r="CN101" s="11671"/>
      <c r="CO101" s="11672"/>
      <c r="CP101" s="11673"/>
      <c r="CQ101" s="11674"/>
      <c r="CR101" s="11675"/>
      <c r="CS101" s="11676"/>
      <c r="CT101" s="11677"/>
      <c r="CU101" s="11678"/>
      <c r="CV101" s="11679"/>
      <c r="CW101" s="11680"/>
      <c r="CX101" s="11681"/>
      <c r="CY101" s="11682"/>
      <c r="CZ101" s="11683"/>
      <c r="DA101" s="11684"/>
      <c r="DB101" s="11685"/>
      <c r="DC101" s="11686"/>
      <c r="DD101" s="11687"/>
      <c r="DE101" s="11688"/>
      <c r="DF101" s="11689"/>
      <c r="DG101" s="11690"/>
      <c r="DH101" s="11691"/>
      <c r="DI101" s="11692"/>
      <c r="DJ101" s="11693"/>
      <c r="DK101" s="11694"/>
      <c r="DL101" s="11695"/>
      <c r="DM101" s="11696"/>
      <c r="DN101" s="11697"/>
      <c r="DO101" s="11698"/>
      <c r="DP101" s="11699"/>
      <c r="DQ101" s="11700"/>
      <c r="DR101" s="11701"/>
      <c r="DS101" s="9769"/>
      <c r="DT101" s="10065"/>
      <c r="DU101" s="10065" t="str">
        <f>IF(T101="","",T101)</f>
        <v>Добавить наименование признака дифференциации</v>
      </c>
      <c r="DV101" s="10065"/>
      <c r="DW101" s="10065"/>
    </row>
    <row s="19120" customFormat="1" customHeight="1" ht="14.25">
      <c r="A102" s="10411"/>
      <c r="B102" s="10411"/>
      <c r="C102" s="10411"/>
      <c r="D102" s="10411"/>
      <c r="E102" s="10053"/>
      <c r="F102" s="10054" t="s">
        <v>113</v>
      </c>
      <c r="G102" s="10411"/>
      <c r="H102" s="10411"/>
      <c r="I102" s="10411"/>
      <c r="J102" s="10411"/>
      <c r="K102" s="10411"/>
      <c r="L102" s="10412"/>
      <c r="M102" s="10413"/>
      <c r="N102" s="10413"/>
      <c r="O102" s="9769"/>
      <c r="P102" s="10414"/>
      <c r="Q102" s="10415"/>
      <c r="R102" s="10414"/>
      <c r="S102" s="10416"/>
      <c r="T102" s="10417" t="s">
        <v>305</v>
      </c>
      <c r="U102" s="9751"/>
      <c r="V102" s="9751"/>
      <c r="W102" s="9751"/>
      <c r="X102" s="9751"/>
      <c r="Y102" s="9751"/>
      <c r="Z102" s="9751"/>
      <c r="AA102" s="9751"/>
      <c r="AB102" s="9751"/>
      <c r="AC102" s="9751"/>
      <c r="AD102" s="9751"/>
      <c r="AE102" s="9751"/>
      <c r="AF102" s="9751"/>
      <c r="AG102" s="9751"/>
      <c r="AH102" s="9751"/>
      <c r="AI102" s="9751"/>
      <c r="AJ102" s="9751"/>
      <c r="AK102" s="9751"/>
      <c r="AL102" s="9751"/>
      <c r="AM102" s="9751"/>
      <c r="AN102" s="9751"/>
      <c r="AO102" s="9751"/>
      <c r="AP102" s="9751"/>
      <c r="AQ102" s="9751"/>
      <c r="AR102" s="9751"/>
      <c r="AS102" s="9751"/>
      <c r="AT102" s="9751"/>
      <c r="AU102" s="9751"/>
      <c r="AV102" s="9751"/>
      <c r="AW102" s="9751"/>
      <c r="AX102" s="9751"/>
      <c r="AY102" s="9751"/>
      <c r="AZ102" s="9751"/>
      <c r="BA102" s="9751"/>
      <c r="BB102" s="9751"/>
      <c r="BC102" s="9751"/>
      <c r="BD102" s="9751"/>
      <c r="BE102" s="9751"/>
      <c r="BF102" s="9751"/>
      <c r="BG102" s="9751"/>
      <c r="BH102" s="9751"/>
      <c r="BI102" s="9751"/>
      <c r="BJ102" s="9751"/>
      <c r="BK102" s="9751"/>
      <c r="BL102" s="9751"/>
      <c r="BM102" s="9751"/>
      <c r="BN102" s="9751"/>
      <c r="BO102" s="9751"/>
      <c r="BP102" s="9751"/>
      <c r="BQ102" s="9751"/>
      <c r="BR102" s="9751"/>
      <c r="BS102" s="9751"/>
      <c r="BT102" s="9751"/>
      <c r="BU102" s="9751"/>
      <c r="BV102" s="9751"/>
      <c r="BW102" s="9751"/>
      <c r="BX102" s="9751"/>
      <c r="BY102" s="9751"/>
      <c r="BZ102" s="9751"/>
      <c r="CA102" s="9751"/>
      <c r="CB102" s="9751"/>
      <c r="CC102" s="9751"/>
      <c r="CD102" s="9751"/>
      <c r="CE102" s="9751"/>
      <c r="CF102" s="9751"/>
      <c r="CG102" s="9751"/>
      <c r="CH102" s="9751"/>
      <c r="CI102" s="9751"/>
      <c r="CJ102" s="9751"/>
      <c r="CK102" s="9751"/>
      <c r="CL102" s="9751"/>
      <c r="CM102" s="9751"/>
      <c r="CN102" s="9751"/>
      <c r="CO102" s="9751"/>
      <c r="CP102" s="9751"/>
      <c r="CQ102" s="9751"/>
      <c r="CR102" s="9751"/>
      <c r="CS102" s="9751"/>
      <c r="CT102" s="10418"/>
      <c r="CU102" s="9751"/>
      <c r="CV102" s="9751"/>
      <c r="CW102" s="9751"/>
      <c r="CX102" s="9751"/>
      <c r="CY102" s="9751"/>
      <c r="CZ102" s="9751"/>
      <c r="DA102" s="9751"/>
      <c r="DB102" s="9751"/>
      <c r="DC102" s="9751"/>
      <c r="DD102" s="9751"/>
      <c r="DE102" s="9751"/>
      <c r="DF102" s="9751"/>
      <c r="DG102" s="9751"/>
      <c r="DH102" s="9751"/>
      <c r="DI102" s="9751"/>
      <c r="DJ102" s="9751"/>
      <c r="DK102" s="9751"/>
      <c r="DL102" s="9751"/>
      <c r="DM102" s="9751"/>
      <c r="DN102" s="9751"/>
      <c r="DO102" s="9751"/>
      <c r="DP102" s="9751"/>
      <c r="DQ102" s="9751"/>
      <c r="DR102" s="9751"/>
      <c r="DS102" s="9769"/>
      <c r="DT102" s="10065"/>
      <c r="DU102" s="10065" t="str">
        <f>IF(T102="","",T102)</f>
        <v>Добавить централизованную систему для дифференциации</v>
      </c>
      <c r="DV102" s="10065"/>
      <c r="DW102" s="10065"/>
    </row>
    <row s="19121" customFormat="1" customHeight="1" ht="23.25">
      <c r="A103" s="10052"/>
      <c r="B103" s="10052" t="s">
        <v>327</v>
      </c>
      <c r="C103" s="10052"/>
      <c r="D103" s="10052"/>
      <c r="E103" s="10053"/>
      <c r="F103" s="10054" t="s">
        <v>89</v>
      </c>
      <c r="G103" s="10052"/>
      <c r="H103" s="10052"/>
      <c r="I103" s="10052"/>
      <c r="J103" s="10052"/>
      <c r="K103" s="10052"/>
      <c r="L103" s="10055"/>
      <c r="M103" s="10056"/>
      <c r="N103" s="10056"/>
      <c r="O103" s="10056"/>
      <c r="P103" s="10057"/>
      <c r="Q103" s="10058"/>
      <c r="R103" s="10059"/>
      <c r="S103" s="10060" t="str">
        <f>INDEX(PT_DIFFERENTIATION_NUM_TER,MATCH(B103,PT_DIFFERENTIATION_TER_ID,0))</f>
        <v>1.7</v>
      </c>
      <c r="T103" s="10061" t="s">
        <v>503</v>
      </c>
      <c r="U103" s="10062"/>
      <c r="V103" s="9494"/>
      <c r="W103" s="9495"/>
      <c r="X103" s="9495"/>
      <c r="Y103" s="9495"/>
      <c r="Z103" s="9495"/>
      <c r="AA103" s="9495"/>
      <c r="AB103" s="9495"/>
      <c r="AC103" s="9495"/>
      <c r="AD103" s="9495"/>
      <c r="AE103" s="9495"/>
      <c r="AF103" s="9496"/>
      <c r="AG103" s="9494" t="str">
        <f>INDEX(PT_DIFFERENTIATION_TER,MATCH(B103,PT_DIFFERENTIATION_TER_ID,0))</f>
        <v>Территория 7</v>
      </c>
      <c r="AH103" s="9495"/>
      <c r="AI103" s="9495"/>
      <c r="AJ103" s="9495"/>
      <c r="AK103" s="9495"/>
      <c r="AL103" s="9495"/>
      <c r="AM103" s="9495"/>
      <c r="AN103" s="9495"/>
      <c r="AO103" s="9495"/>
      <c r="AP103" s="9495"/>
      <c r="AQ103" s="9495"/>
      <c r="AR103" s="9494"/>
      <c r="AS103" s="9495"/>
      <c r="AT103" s="9495"/>
      <c r="AU103" s="9495"/>
      <c r="AV103" s="9495"/>
      <c r="AW103" s="9495"/>
      <c r="AX103" s="9495"/>
      <c r="AY103" s="9495"/>
      <c r="AZ103" s="9495"/>
      <c r="BA103" s="9495"/>
      <c r="BB103" s="9496"/>
      <c r="BC103" s="9494"/>
      <c r="BD103" s="9495"/>
      <c r="BE103" s="9495"/>
      <c r="BF103" s="9495"/>
      <c r="BG103" s="9495"/>
      <c r="BH103" s="9495"/>
      <c r="BI103" s="9495"/>
      <c r="BJ103" s="9495"/>
      <c r="BK103" s="9495"/>
      <c r="BL103" s="9495"/>
      <c r="BM103" s="9496"/>
      <c r="BN103" s="9494"/>
      <c r="BO103" s="9495"/>
      <c r="BP103" s="9495"/>
      <c r="BQ103" s="9495"/>
      <c r="BR103" s="9495"/>
      <c r="BS103" s="9495"/>
      <c r="BT103" s="9495"/>
      <c r="BU103" s="9495"/>
      <c r="BV103" s="9495"/>
      <c r="BW103" s="9495"/>
      <c r="BX103" s="9496"/>
      <c r="BY103" s="9494"/>
      <c r="BZ103" s="9495"/>
      <c r="CA103" s="9495"/>
      <c r="CB103" s="9495"/>
      <c r="CC103" s="9495"/>
      <c r="CD103" s="9495"/>
      <c r="CE103" s="9495"/>
      <c r="CF103" s="9495"/>
      <c r="CG103" s="9495"/>
      <c r="CH103" s="9495"/>
      <c r="CI103" s="9496"/>
      <c r="CJ103" s="9494"/>
      <c r="CK103" s="9495"/>
      <c r="CL103" s="9495"/>
      <c r="CM103" s="9495"/>
      <c r="CN103" s="9495"/>
      <c r="CO103" s="9495"/>
      <c r="CP103" s="9495"/>
      <c r="CQ103" s="9495"/>
      <c r="CR103" s="9495"/>
      <c r="CS103" s="9495"/>
      <c r="CT103" s="10063"/>
      <c r="CU103" s="9494"/>
      <c r="CV103" s="9495"/>
      <c r="CW103" s="9495"/>
      <c r="CX103" s="9495"/>
      <c r="CY103" s="9495"/>
      <c r="CZ103" s="9495"/>
      <c r="DA103" s="9495"/>
      <c r="DB103" s="9495"/>
      <c r="DC103" s="9495"/>
      <c r="DD103" s="9495"/>
      <c r="DE103" s="9496"/>
      <c r="DF103" s="9494"/>
      <c r="DG103" s="9495"/>
      <c r="DH103" s="9495"/>
      <c r="DI103" s="9495"/>
      <c r="DJ103" s="9495"/>
      <c r="DK103" s="9495"/>
      <c r="DL103" s="9495"/>
      <c r="DM103" s="9495"/>
      <c r="DN103" s="9495"/>
      <c r="DO103" s="9495"/>
      <c r="DP103" s="9496"/>
      <c r="DQ103" s="9496"/>
      <c r="DR103" s="10064" t="s">
        <v>504</v>
      </c>
      <c r="DS103" s="9769"/>
      <c r="DT103" s="10065"/>
      <c r="DU103" s="10065" t="str">
        <f>IF(T103="","",T103)</f>
        <v>Территория действия тарифа</v>
      </c>
      <c r="DV103" s="10065"/>
      <c r="DW103" s="10065"/>
    </row>
    <row s="19122" customFormat="1" customHeight="1" ht="23.25">
      <c r="A104" s="10052"/>
      <c r="B104" s="10052"/>
      <c r="C104" s="10052" t="s">
        <v>328</v>
      </c>
      <c r="D104" s="10052"/>
      <c r="E104" s="10053"/>
      <c r="F104" s="10053" t="s">
        <v>88</v>
      </c>
      <c r="G104" s="10054">
        <v>1</v>
      </c>
      <c r="H104" s="10052"/>
      <c r="I104" s="10052"/>
      <c r="J104" s="10052"/>
      <c r="K104" s="10052"/>
      <c r="L104" s="10055"/>
      <c r="M104" s="10056"/>
      <c r="N104" s="10056"/>
      <c r="O104" s="10056"/>
      <c r="P104" s="10067"/>
      <c r="Q104" s="10058"/>
      <c r="R104" s="10059"/>
      <c r="S104" s="10060" t="str">
        <f>INDEX(PT_DIFFERENTIATION_NUM_CS,MATCH(C104,PT_DIFFERENTIATION_CS_ID,0))</f>
        <v>1.7.1</v>
      </c>
      <c r="T104" s="10068" t="s">
        <v>634</v>
      </c>
      <c r="U104" s="10062"/>
      <c r="V104" s="9494"/>
      <c r="W104" s="9495"/>
      <c r="X104" s="9495"/>
      <c r="Y104" s="9495"/>
      <c r="Z104" s="9495"/>
      <c r="AA104" s="9495"/>
      <c r="AB104" s="9495"/>
      <c r="AC104" s="9495"/>
      <c r="AD104" s="9495"/>
      <c r="AE104" s="9495"/>
      <c r="AF104" s="9496"/>
      <c r="AG104" s="9494" t="str">
        <f>INDEX(PT_DIFFERENTIATION_CS,MATCH(C104,PT_DIFFERENTIATION_CS_ID,0))</f>
        <v>г. Лесозаводск</v>
      </c>
      <c r="AH104" s="9495"/>
      <c r="AI104" s="9495"/>
      <c r="AJ104" s="9495"/>
      <c r="AK104" s="9495"/>
      <c r="AL104" s="9495"/>
      <c r="AM104" s="9495"/>
      <c r="AN104" s="9495"/>
      <c r="AO104" s="9495"/>
      <c r="AP104" s="9495"/>
      <c r="AQ104" s="9495"/>
      <c r="AR104" s="9494"/>
      <c r="AS104" s="9495"/>
      <c r="AT104" s="9495"/>
      <c r="AU104" s="9495"/>
      <c r="AV104" s="9495"/>
      <c r="AW104" s="9495"/>
      <c r="AX104" s="9495"/>
      <c r="AY104" s="9495"/>
      <c r="AZ104" s="9495"/>
      <c r="BA104" s="9495"/>
      <c r="BB104" s="9496"/>
      <c r="BC104" s="9494"/>
      <c r="BD104" s="9495"/>
      <c r="BE104" s="9495"/>
      <c r="BF104" s="9495"/>
      <c r="BG104" s="9495"/>
      <c r="BH104" s="9495"/>
      <c r="BI104" s="9495"/>
      <c r="BJ104" s="9495"/>
      <c r="BK104" s="9495"/>
      <c r="BL104" s="9495"/>
      <c r="BM104" s="9496"/>
      <c r="BN104" s="9494"/>
      <c r="BO104" s="9495"/>
      <c r="BP104" s="9495"/>
      <c r="BQ104" s="9495"/>
      <c r="BR104" s="9495"/>
      <c r="BS104" s="9495"/>
      <c r="BT104" s="9495"/>
      <c r="BU104" s="9495"/>
      <c r="BV104" s="9495"/>
      <c r="BW104" s="9495"/>
      <c r="BX104" s="9496"/>
      <c r="BY104" s="9494"/>
      <c r="BZ104" s="9495"/>
      <c r="CA104" s="9495"/>
      <c r="CB104" s="9495"/>
      <c r="CC104" s="9495"/>
      <c r="CD104" s="9495"/>
      <c r="CE104" s="9495"/>
      <c r="CF104" s="9495"/>
      <c r="CG104" s="9495"/>
      <c r="CH104" s="9495"/>
      <c r="CI104" s="9496"/>
      <c r="CJ104" s="9494"/>
      <c r="CK104" s="9495"/>
      <c r="CL104" s="9495"/>
      <c r="CM104" s="9495"/>
      <c r="CN104" s="9495"/>
      <c r="CO104" s="9495"/>
      <c r="CP104" s="9495"/>
      <c r="CQ104" s="9495"/>
      <c r="CR104" s="9495"/>
      <c r="CS104" s="9495"/>
      <c r="CT104" s="10063"/>
      <c r="CU104" s="9494"/>
      <c r="CV104" s="9495"/>
      <c r="CW104" s="9495"/>
      <c r="CX104" s="9495"/>
      <c r="CY104" s="9495"/>
      <c r="CZ104" s="9495"/>
      <c r="DA104" s="9495"/>
      <c r="DB104" s="9495"/>
      <c r="DC104" s="9495"/>
      <c r="DD104" s="9495"/>
      <c r="DE104" s="9496"/>
      <c r="DF104" s="9494"/>
      <c r="DG104" s="9495"/>
      <c r="DH104" s="9495"/>
      <c r="DI104" s="9495"/>
      <c r="DJ104" s="9495"/>
      <c r="DK104" s="9495"/>
      <c r="DL104" s="9495"/>
      <c r="DM104" s="9495"/>
      <c r="DN104" s="9495"/>
      <c r="DO104" s="9495"/>
      <c r="DP104" s="9496"/>
      <c r="DQ104" s="9496"/>
      <c r="DR104" s="10064" t="s">
        <v>635</v>
      </c>
      <c r="DS104" s="9769"/>
      <c r="DT104" s="10065"/>
      <c r="DU104" s="10065" t="str">
        <f>IF(T104="","",T104)</f>
        <v>Наименование централизованной системы горячего водоснабжения</v>
      </c>
      <c r="DV104" s="10065"/>
      <c r="DW104" s="10065"/>
    </row>
    <row s="19123" customFormat="1" customHeight="1" ht="23.25">
      <c r="A105" s="10052"/>
      <c r="B105" s="10052"/>
      <c r="C105" s="10052"/>
      <c r="D105" s="10052"/>
      <c r="E105" s="10053"/>
      <c r="F105" s="10053" t="s">
        <v>88</v>
      </c>
      <c r="G105" s="10053"/>
      <c r="H105" s="10053"/>
      <c r="I105" s="10070" t="str">
        <f>S104&amp;".1"</f>
        <v>1.7.1.1</v>
      </c>
      <c r="J105" s="10052"/>
      <c r="K105" s="10052"/>
      <c r="L105" s="10055"/>
      <c r="M105" s="10071"/>
      <c r="N105" s="10071"/>
      <c r="O105" s="10071"/>
      <c r="P105" s="10072">
        <v>1</v>
      </c>
      <c r="Q105" s="10072"/>
      <c r="R105" s="10073"/>
      <c r="S105" s="10060" t="str">
        <f>$I105</f>
        <v>1.7.1.1</v>
      </c>
      <c r="T105" s="10074" t="s">
        <v>587</v>
      </c>
      <c r="U105" s="10062"/>
      <c r="V105" s="9500"/>
      <c r="W105" s="9501"/>
      <c r="X105" s="9501"/>
      <c r="Y105" s="9501"/>
      <c r="Z105" s="9501"/>
      <c r="AA105" s="9501"/>
      <c r="AB105" s="9501"/>
      <c r="AC105" s="9501"/>
      <c r="AD105" s="9501"/>
      <c r="AE105" s="9501"/>
      <c r="AF105" s="9502"/>
      <c r="AG105" s="10075"/>
      <c r="AH105" s="10076"/>
      <c r="AI105" s="10076"/>
      <c r="AJ105" s="10076"/>
      <c r="AK105" s="10076"/>
      <c r="AL105" s="10076"/>
      <c r="AM105" s="10076"/>
      <c r="AN105" s="10076"/>
      <c r="AO105" s="10076"/>
      <c r="AP105" s="10076"/>
      <c r="AQ105" s="10076"/>
      <c r="AR105" s="9500"/>
      <c r="AS105" s="9501"/>
      <c r="AT105" s="9501"/>
      <c r="AU105" s="9501"/>
      <c r="AV105" s="9501"/>
      <c r="AW105" s="9501"/>
      <c r="AX105" s="9501"/>
      <c r="AY105" s="9501"/>
      <c r="AZ105" s="9501"/>
      <c r="BA105" s="9501"/>
      <c r="BB105" s="9502"/>
      <c r="BC105" s="9500"/>
      <c r="BD105" s="9501"/>
      <c r="BE105" s="9501"/>
      <c r="BF105" s="9501"/>
      <c r="BG105" s="9501"/>
      <c r="BH105" s="9501"/>
      <c r="BI105" s="9501"/>
      <c r="BJ105" s="9501"/>
      <c r="BK105" s="9501"/>
      <c r="BL105" s="9501"/>
      <c r="BM105" s="9502"/>
      <c r="BN105" s="9500"/>
      <c r="BO105" s="9501"/>
      <c r="BP105" s="9501"/>
      <c r="BQ105" s="9501"/>
      <c r="BR105" s="9501"/>
      <c r="BS105" s="9501"/>
      <c r="BT105" s="9501"/>
      <c r="BU105" s="9501"/>
      <c r="BV105" s="9501"/>
      <c r="BW105" s="9501"/>
      <c r="BX105" s="9502"/>
      <c r="BY105" s="9500"/>
      <c r="BZ105" s="9501"/>
      <c r="CA105" s="9501"/>
      <c r="CB105" s="9501"/>
      <c r="CC105" s="9501"/>
      <c r="CD105" s="9501"/>
      <c r="CE105" s="9501"/>
      <c r="CF105" s="9501"/>
      <c r="CG105" s="9501"/>
      <c r="CH105" s="9501"/>
      <c r="CI105" s="9502"/>
      <c r="CJ105" s="9500"/>
      <c r="CK105" s="9501"/>
      <c r="CL105" s="9501"/>
      <c r="CM105" s="9501"/>
      <c r="CN105" s="9501"/>
      <c r="CO105" s="9501"/>
      <c r="CP105" s="9501"/>
      <c r="CQ105" s="9501"/>
      <c r="CR105" s="9501"/>
      <c r="CS105" s="9501"/>
      <c r="CT105" s="10077"/>
      <c r="CU105" s="9500"/>
      <c r="CV105" s="9501"/>
      <c r="CW105" s="9501"/>
      <c r="CX105" s="9501"/>
      <c r="CY105" s="9501"/>
      <c r="CZ105" s="9501"/>
      <c r="DA105" s="9501"/>
      <c r="DB105" s="9501"/>
      <c r="DC105" s="9501"/>
      <c r="DD105" s="9501"/>
      <c r="DE105" s="9502"/>
      <c r="DF105" s="9500"/>
      <c r="DG105" s="9501"/>
      <c r="DH105" s="9501"/>
      <c r="DI105" s="9501"/>
      <c r="DJ105" s="9501"/>
      <c r="DK105" s="9501"/>
      <c r="DL105" s="9501"/>
      <c r="DM105" s="9501"/>
      <c r="DN105" s="9501"/>
      <c r="DO105" s="9501"/>
      <c r="DP105" s="9502"/>
      <c r="DQ105" s="10078"/>
      <c r="DR105" s="10064" t="s">
        <v>588</v>
      </c>
      <c r="DS105" s="9769"/>
      <c r="DT105" s="10065"/>
      <c r="DU105" s="10065" t="str">
        <f>IF(T105="","",T105)</f>
        <v>Наименование признака дифференциации</v>
      </c>
      <c r="DV105" s="10065"/>
      <c r="DW105" s="10065"/>
    </row>
    <row s="19124" customFormat="1" customHeight="1" ht="23.25">
      <c r="A106" s="10052"/>
      <c r="B106" s="10052"/>
      <c r="C106" s="10052"/>
      <c r="D106" s="10052"/>
      <c r="E106" s="10053"/>
      <c r="F106" s="10053" t="s">
        <v>88</v>
      </c>
      <c r="G106" s="10053"/>
      <c r="H106" s="10053"/>
      <c r="I106" s="10080"/>
      <c r="J106" s="10070" t="str">
        <f>I105&amp;".1"</f>
        <v>1.7.1.1.1</v>
      </c>
      <c r="K106" s="10052"/>
      <c r="L106" s="10055" t="s">
        <v>512</v>
      </c>
      <c r="M106" s="10071"/>
      <c r="N106" s="10071"/>
      <c r="O106" s="10071"/>
      <c r="P106" s="10072"/>
      <c r="Q106" s="10072">
        <v>1</v>
      </c>
      <c r="R106" s="10081"/>
      <c r="S106" s="10060" t="str">
        <f>$J106</f>
        <v>1.7.1.1.1</v>
      </c>
      <c r="T106" s="10082" t="s">
        <v>513</v>
      </c>
      <c r="U106" s="10062"/>
      <c r="V106" s="9506"/>
      <c r="W106" s="9507"/>
      <c r="X106" s="9507"/>
      <c r="Y106" s="9507"/>
      <c r="Z106" s="9507"/>
      <c r="AA106" s="9507"/>
      <c r="AB106" s="9507"/>
      <c r="AC106" s="9507"/>
      <c r="AD106" s="9507"/>
      <c r="AE106" s="9507"/>
      <c r="AF106" s="9508"/>
      <c r="AG106" s="9506" t="s">
        <v>647</v>
      </c>
      <c r="AH106" s="9507"/>
      <c r="AI106" s="9507"/>
      <c r="AJ106" s="9507"/>
      <c r="AK106" s="9507"/>
      <c r="AL106" s="9507"/>
      <c r="AM106" s="9507"/>
      <c r="AN106" s="9507"/>
      <c r="AO106" s="9507"/>
      <c r="AP106" s="9507"/>
      <c r="AQ106" s="9507"/>
      <c r="AR106" s="9506"/>
      <c r="AS106" s="9507"/>
      <c r="AT106" s="9507"/>
      <c r="AU106" s="9507"/>
      <c r="AV106" s="9507"/>
      <c r="AW106" s="9507"/>
      <c r="AX106" s="9507"/>
      <c r="AY106" s="9507"/>
      <c r="AZ106" s="9507"/>
      <c r="BA106" s="9507"/>
      <c r="BB106" s="9508"/>
      <c r="BC106" s="9506"/>
      <c r="BD106" s="9507"/>
      <c r="BE106" s="9507"/>
      <c r="BF106" s="9507"/>
      <c r="BG106" s="9507"/>
      <c r="BH106" s="9507"/>
      <c r="BI106" s="9507"/>
      <c r="BJ106" s="9507"/>
      <c r="BK106" s="9507"/>
      <c r="BL106" s="9507"/>
      <c r="BM106" s="9508"/>
      <c r="BN106" s="9506"/>
      <c r="BO106" s="9507"/>
      <c r="BP106" s="9507"/>
      <c r="BQ106" s="9507"/>
      <c r="BR106" s="9507"/>
      <c r="BS106" s="9507"/>
      <c r="BT106" s="9507"/>
      <c r="BU106" s="9507"/>
      <c r="BV106" s="9507"/>
      <c r="BW106" s="9507"/>
      <c r="BX106" s="9508"/>
      <c r="BY106" s="9506"/>
      <c r="BZ106" s="9507"/>
      <c r="CA106" s="9507"/>
      <c r="CB106" s="9507"/>
      <c r="CC106" s="9507"/>
      <c r="CD106" s="9507"/>
      <c r="CE106" s="9507"/>
      <c r="CF106" s="9507"/>
      <c r="CG106" s="9507"/>
      <c r="CH106" s="9507"/>
      <c r="CI106" s="9508"/>
      <c r="CJ106" s="9506"/>
      <c r="CK106" s="9507"/>
      <c r="CL106" s="9507"/>
      <c r="CM106" s="9507"/>
      <c r="CN106" s="9507"/>
      <c r="CO106" s="9507"/>
      <c r="CP106" s="9507"/>
      <c r="CQ106" s="9507"/>
      <c r="CR106" s="9507"/>
      <c r="CS106" s="9507"/>
      <c r="CT106" s="10083"/>
      <c r="CU106" s="9506"/>
      <c r="CV106" s="9507"/>
      <c r="CW106" s="9507"/>
      <c r="CX106" s="9507"/>
      <c r="CY106" s="9507"/>
      <c r="CZ106" s="9507"/>
      <c r="DA106" s="9507"/>
      <c r="DB106" s="9507"/>
      <c r="DC106" s="9507"/>
      <c r="DD106" s="9507"/>
      <c r="DE106" s="9508"/>
      <c r="DF106" s="9506"/>
      <c r="DG106" s="9507"/>
      <c r="DH106" s="9507"/>
      <c r="DI106" s="9507"/>
      <c r="DJ106" s="9507"/>
      <c r="DK106" s="9507"/>
      <c r="DL106" s="9507"/>
      <c r="DM106" s="9507"/>
      <c r="DN106" s="9507"/>
      <c r="DO106" s="9507"/>
      <c r="DP106" s="9508"/>
      <c r="DQ106" s="9508"/>
      <c r="DR106" s="10084" t="s">
        <v>589</v>
      </c>
      <c r="DS106" s="9769"/>
      <c r="DT106" s="10065"/>
      <c r="DU106" s="10065" t="str">
        <f>IF(T106="","",T106)</f>
        <v>Группа потребителей</v>
      </c>
      <c r="DV106" s="10065"/>
      <c r="DW106" s="10065"/>
    </row>
    <row s="19125" customFormat="1" customHeight="1" ht="23.25">
      <c r="A107" s="10052"/>
      <c r="B107" s="10052"/>
      <c r="C107" s="10052"/>
      <c r="D107" s="10052"/>
      <c r="E107" s="10053"/>
      <c r="F107" s="10053" t="s">
        <v>88</v>
      </c>
      <c r="G107" s="10053"/>
      <c r="H107" s="10053"/>
      <c r="I107" s="10080"/>
      <c r="J107" s="10080"/>
      <c r="K107" s="10070" t="str">
        <f>J106&amp;".1"</f>
        <v>1.7.1.1.1.1</v>
      </c>
      <c r="L107" s="10055"/>
      <c r="M107" s="10071"/>
      <c r="N107" s="10071"/>
      <c r="O107" s="10071"/>
      <c r="P107" s="10072"/>
      <c r="Q107" s="10072"/>
      <c r="R107" s="10081">
        <v>1</v>
      </c>
      <c r="S107" s="10060" t="str">
        <f>$K107</f>
        <v>1.7.1.1.1.1</v>
      </c>
      <c r="T107" s="10086"/>
      <c r="U107" s="10062"/>
      <c r="V107" s="9512"/>
      <c r="W107" s="9512"/>
      <c r="X107" s="9512"/>
      <c r="Y107" s="9512"/>
      <c r="Z107" s="9512"/>
      <c r="AA107" s="9512"/>
      <c r="AB107" s="9512"/>
      <c r="AC107" s="9513"/>
      <c r="AD107" s="9514" t="s">
        <v>63</v>
      </c>
      <c r="AE107" s="9513"/>
      <c r="AF107" s="9514" t="s">
        <v>63</v>
      </c>
      <c r="AG107" s="9512">
        <v>410.37</v>
      </c>
      <c r="AH107" s="9512"/>
      <c r="AI107" s="9512"/>
      <c r="AJ107" s="9512"/>
      <c r="AK107" s="9512"/>
      <c r="AL107" s="9512"/>
      <c r="AM107" s="9512"/>
      <c r="AN107" s="9513">
        <v>45658.6115625</v>
      </c>
      <c r="AO107" s="9514" t="s">
        <v>63</v>
      </c>
      <c r="AP107" s="9817">
        <v>45838.611712962964</v>
      </c>
      <c r="AQ107" s="9514" t="s">
        <v>63</v>
      </c>
      <c r="AR107" s="9512">
        <v>580.45</v>
      </c>
      <c r="AS107" s="9512"/>
      <c r="AT107" s="9512"/>
      <c r="AU107" s="9512"/>
      <c r="AV107" s="9512"/>
      <c r="AW107" s="9512"/>
      <c r="AX107" s="9512"/>
      <c r="AY107" s="9513">
        <v>45839.612662037034</v>
      </c>
      <c r="AZ107" s="9514" t="s">
        <v>63</v>
      </c>
      <c r="BA107" s="9513">
        <v>46022.6128125</v>
      </c>
      <c r="BB107" s="9514" t="s">
        <v>63</v>
      </c>
      <c r="BC107" s="9512">
        <v>580.45</v>
      </c>
      <c r="BD107" s="9512"/>
      <c r="BE107" s="9512"/>
      <c r="BF107" s="9512"/>
      <c r="BG107" s="9512"/>
      <c r="BH107" s="9512"/>
      <c r="BI107" s="9512"/>
      <c r="BJ107" s="9513">
        <v>46023.63263888889</v>
      </c>
      <c r="BK107" s="9514" t="s">
        <v>63</v>
      </c>
      <c r="BL107" s="9513">
        <v>46203.632743055554</v>
      </c>
      <c r="BM107" s="9514" t="s">
        <v>63</v>
      </c>
      <c r="BN107" s="9512">
        <v>603.66</v>
      </c>
      <c r="BO107" s="9512"/>
      <c r="BP107" s="9512"/>
      <c r="BQ107" s="9512"/>
      <c r="BR107" s="9512"/>
      <c r="BS107" s="9512"/>
      <c r="BT107" s="9512"/>
      <c r="BU107" s="9513">
        <v>46204.62744212963</v>
      </c>
      <c r="BV107" s="9514" t="s">
        <v>63</v>
      </c>
      <c r="BW107" s="9513">
        <v>46387.62755787037</v>
      </c>
      <c r="BX107" s="9514" t="s">
        <v>63</v>
      </c>
      <c r="BY107" s="9512">
        <v>603.66</v>
      </c>
      <c r="BZ107" s="9512"/>
      <c r="CA107" s="9512"/>
      <c r="CB107" s="9512"/>
      <c r="CC107" s="9512"/>
      <c r="CD107" s="9512"/>
      <c r="CE107" s="9512"/>
      <c r="CF107" s="9513">
        <v>46388.62773148148</v>
      </c>
      <c r="CG107" s="9514" t="s">
        <v>63</v>
      </c>
      <c r="CH107" s="9513">
        <v>46568.62787037037</v>
      </c>
      <c r="CI107" s="9514" t="s">
        <v>63</v>
      </c>
      <c r="CJ107" s="9512">
        <v>627.81</v>
      </c>
      <c r="CK107" s="9512"/>
      <c r="CL107" s="9512"/>
      <c r="CM107" s="9512"/>
      <c r="CN107" s="9512"/>
      <c r="CO107" s="9512"/>
      <c r="CP107" s="9512"/>
      <c r="CQ107" s="9513">
        <v>46569.628900462965</v>
      </c>
      <c r="CR107" s="9514" t="s">
        <v>63</v>
      </c>
      <c r="CS107" s="9513">
        <v>46752.62902777778</v>
      </c>
      <c r="CT107" s="10087" t="s">
        <v>63</v>
      </c>
      <c r="CU107" s="9512">
        <v>627.81</v>
      </c>
      <c r="CV107" s="9512"/>
      <c r="CW107" s="9512"/>
      <c r="CX107" s="9512"/>
      <c r="CY107" s="9512"/>
      <c r="CZ107" s="9512"/>
      <c r="DA107" s="9512"/>
      <c r="DB107" s="9513">
        <v>46753.63146990741</v>
      </c>
      <c r="DC107" s="9514" t="s">
        <v>63</v>
      </c>
      <c r="DD107" s="9513">
        <v>46934.63159722222</v>
      </c>
      <c r="DE107" s="9514" t="s">
        <v>63</v>
      </c>
      <c r="DF107" s="9512">
        <v>652.92</v>
      </c>
      <c r="DG107" s="9512"/>
      <c r="DH107" s="9512"/>
      <c r="DI107" s="9512"/>
      <c r="DJ107" s="9512"/>
      <c r="DK107" s="9512"/>
      <c r="DL107" s="9512"/>
      <c r="DM107" s="9513">
        <v>46935.632152777776</v>
      </c>
      <c r="DN107" s="9514" t="s">
        <v>63</v>
      </c>
      <c r="DO107" s="9513">
        <v>47118.63228009259</v>
      </c>
      <c r="DP107" s="9514" t="s">
        <v>63</v>
      </c>
      <c r="DQ107" s="10088"/>
      <c r="DR107" s="100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S107" s="9769">
        <f>STRCHECKDATE(V108:DQ108)</f>
      </c>
      <c r="DT107" s="10065"/>
      <c r="DU107" s="10065" t="str">
        <f>IF(T107="","",T107)</f>
        <v/>
      </c>
      <c r="DV107" s="10065"/>
      <c r="DW107" s="10065"/>
    </row>
    <row s="19126" customFormat="1" customHeight="1" ht="14.25">
      <c r="A108" s="10052"/>
      <c r="B108" s="10052"/>
      <c r="C108" s="10052"/>
      <c r="D108" s="10052"/>
      <c r="E108" s="10053"/>
      <c r="F108" s="10053" t="s">
        <v>88</v>
      </c>
      <c r="G108" s="10053"/>
      <c r="H108" s="10053"/>
      <c r="I108" s="10080"/>
      <c r="J108" s="10080"/>
      <c r="K108" s="10070"/>
      <c r="L108" s="10055"/>
      <c r="M108" s="10071"/>
      <c r="N108" s="10071"/>
      <c r="O108" s="10071"/>
      <c r="P108" s="10072"/>
      <c r="Q108" s="10072"/>
      <c r="R108" s="10081"/>
      <c r="S108" s="10091"/>
      <c r="T108" s="10062"/>
      <c r="U108" s="10062"/>
      <c r="V108" s="9517"/>
      <c r="W108" s="9517"/>
      <c r="X108" s="9517"/>
      <c r="Y108" s="9517"/>
      <c r="Z108" s="9517"/>
      <c r="AA108" s="9517"/>
      <c r="AB108" s="9517"/>
      <c r="AC108" s="9518"/>
      <c r="AD108" s="9514"/>
      <c r="AE108" s="9518"/>
      <c r="AF108" s="9514"/>
      <c r="AG108" s="9517"/>
      <c r="AH108" s="9517"/>
      <c r="AI108" s="9517"/>
      <c r="AJ108" s="9517"/>
      <c r="AK108" s="9517"/>
      <c r="AL108" s="9517"/>
      <c r="AM108" s="9517"/>
      <c r="AN108" s="9518"/>
      <c r="AO108" s="9514"/>
      <c r="AP108" s="9819"/>
      <c r="AQ108" s="9514"/>
      <c r="AR108" s="9517"/>
      <c r="AS108" s="9517"/>
      <c r="AT108" s="9517"/>
      <c r="AU108" s="9517"/>
      <c r="AV108" s="9517"/>
      <c r="AW108" s="9517"/>
      <c r="AX108" s="9517"/>
      <c r="AY108" s="9518"/>
      <c r="AZ108" s="9514"/>
      <c r="BA108" s="9518"/>
      <c r="BB108" s="9514"/>
      <c r="BC108" s="9517"/>
      <c r="BD108" s="9517"/>
      <c r="BE108" s="9517"/>
      <c r="BF108" s="9517"/>
      <c r="BG108" s="9517"/>
      <c r="BH108" s="9517"/>
      <c r="BI108" s="9517"/>
      <c r="BJ108" s="9518"/>
      <c r="BK108" s="9514"/>
      <c r="BL108" s="9518"/>
      <c r="BM108" s="9514"/>
      <c r="BN108" s="9517"/>
      <c r="BO108" s="9517"/>
      <c r="BP108" s="9517"/>
      <c r="BQ108" s="9517"/>
      <c r="BR108" s="9517"/>
      <c r="BS108" s="9517"/>
      <c r="BT108" s="9517"/>
      <c r="BU108" s="9518"/>
      <c r="BV108" s="9514"/>
      <c r="BW108" s="9518"/>
      <c r="BX108" s="9514"/>
      <c r="BY108" s="9517"/>
      <c r="BZ108" s="9517"/>
      <c r="CA108" s="9517"/>
      <c r="CB108" s="9517"/>
      <c r="CC108" s="9517"/>
      <c r="CD108" s="9517"/>
      <c r="CE108" s="9517"/>
      <c r="CF108" s="9518"/>
      <c r="CG108" s="9514"/>
      <c r="CH108" s="9518"/>
      <c r="CI108" s="9514"/>
      <c r="CJ108" s="9517"/>
      <c r="CK108" s="9517"/>
      <c r="CL108" s="9517"/>
      <c r="CM108" s="9517"/>
      <c r="CN108" s="9517"/>
      <c r="CO108" s="9517"/>
      <c r="CP108" s="9517"/>
      <c r="CQ108" s="9518"/>
      <c r="CR108" s="9514"/>
      <c r="CS108" s="9518"/>
      <c r="CT108" s="10087"/>
      <c r="CU108" s="9517"/>
      <c r="CV108" s="9517"/>
      <c r="CW108" s="9517"/>
      <c r="CX108" s="9517"/>
      <c r="CY108" s="9517"/>
      <c r="CZ108" s="9517"/>
      <c r="DA108" s="9517"/>
      <c r="DB108" s="9518"/>
      <c r="DC108" s="9514"/>
      <c r="DD108" s="9518"/>
      <c r="DE108" s="9514"/>
      <c r="DF108" s="9517"/>
      <c r="DG108" s="9517"/>
      <c r="DH108" s="9517"/>
      <c r="DI108" s="9517"/>
      <c r="DJ108" s="9517"/>
      <c r="DK108" s="9517"/>
      <c r="DL108" s="9517"/>
      <c r="DM108" s="9518"/>
      <c r="DN108" s="9514"/>
      <c r="DO108" s="9518"/>
      <c r="DP108" s="9514"/>
      <c r="DQ108" s="10092"/>
      <c r="DR108" s="10089"/>
      <c r="DS108" s="9769"/>
      <c r="DT108" s="10065"/>
      <c r="DU108" s="10065" t="str">
        <f>IF(T108="","",T108)</f>
        <v/>
      </c>
      <c r="DV108" s="10065"/>
      <c r="DW108" s="10065"/>
    </row>
    <row s="19127" customFormat="1" customHeight="1" ht="21">
      <c r="A109" s="10052"/>
      <c r="B109" s="10052"/>
      <c r="C109" s="10052"/>
      <c r="D109" s="10052"/>
      <c r="E109" s="10053"/>
      <c r="F109" s="10053" t="s">
        <v>88</v>
      </c>
      <c r="G109" s="10053"/>
      <c r="H109" s="10053"/>
      <c r="I109" s="10080"/>
      <c r="J109" s="10070"/>
      <c r="K109" s="10052"/>
      <c r="L109" s="10055"/>
      <c r="M109" s="10071"/>
      <c r="N109" s="10071"/>
      <c r="O109" s="10071"/>
      <c r="P109" s="10072"/>
      <c r="Q109" s="10072"/>
      <c r="R109" s="10073"/>
      <c r="S109" s="11710"/>
      <c r="T109" s="11711" t="s">
        <v>590</v>
      </c>
      <c r="U109" s="11712"/>
      <c r="V109" s="11713"/>
      <c r="W109" s="11714"/>
      <c r="X109" s="11715"/>
      <c r="Y109" s="11716"/>
      <c r="Z109" s="11717"/>
      <c r="AA109" s="11718"/>
      <c r="AB109" s="11719"/>
      <c r="AC109" s="11720"/>
      <c r="AD109" s="11721"/>
      <c r="AE109" s="11722"/>
      <c r="AF109" s="11723"/>
      <c r="AG109" s="11724"/>
      <c r="AH109" s="11725"/>
      <c r="AI109" s="11726"/>
      <c r="AJ109" s="11727"/>
      <c r="AK109" s="11728"/>
      <c r="AL109" s="11729"/>
      <c r="AM109" s="11730"/>
      <c r="AN109" s="11731"/>
      <c r="AO109" s="11732"/>
      <c r="AP109" s="11733"/>
      <c r="AQ109" s="11734"/>
      <c r="AR109" s="11735"/>
      <c r="AS109" s="11736"/>
      <c r="AT109" s="11737"/>
      <c r="AU109" s="11738"/>
      <c r="AV109" s="11739"/>
      <c r="AW109" s="11740"/>
      <c r="AX109" s="11741"/>
      <c r="AY109" s="11742"/>
      <c r="AZ109" s="11743"/>
      <c r="BA109" s="11744"/>
      <c r="BB109" s="11745"/>
      <c r="BC109" s="11746"/>
      <c r="BD109" s="11747"/>
      <c r="BE109" s="11748"/>
      <c r="BF109" s="11749"/>
      <c r="BG109" s="11750"/>
      <c r="BH109" s="11751"/>
      <c r="BI109" s="11752"/>
      <c r="BJ109" s="11753"/>
      <c r="BK109" s="11754"/>
      <c r="BL109" s="11755"/>
      <c r="BM109" s="11756"/>
      <c r="BN109" s="11757"/>
      <c r="BO109" s="11758"/>
      <c r="BP109" s="11759"/>
      <c r="BQ109" s="11760"/>
      <c r="BR109" s="11761"/>
      <c r="BS109" s="11762"/>
      <c r="BT109" s="11763"/>
      <c r="BU109" s="11764"/>
      <c r="BV109" s="11765"/>
      <c r="BW109" s="11766"/>
      <c r="BX109" s="11767"/>
      <c r="BY109" s="11768"/>
      <c r="BZ109" s="11769"/>
      <c r="CA109" s="11770"/>
      <c r="CB109" s="11771"/>
      <c r="CC109" s="11772"/>
      <c r="CD109" s="11773"/>
      <c r="CE109" s="11774"/>
      <c r="CF109" s="11775"/>
      <c r="CG109" s="11776"/>
      <c r="CH109" s="11777"/>
      <c r="CI109" s="11778"/>
      <c r="CJ109" s="11779"/>
      <c r="CK109" s="11780"/>
      <c r="CL109" s="11781"/>
      <c r="CM109" s="11782"/>
      <c r="CN109" s="11783"/>
      <c r="CO109" s="11784"/>
      <c r="CP109" s="11785"/>
      <c r="CQ109" s="11786"/>
      <c r="CR109" s="11787"/>
      <c r="CS109" s="11788"/>
      <c r="CT109" s="11789"/>
      <c r="CU109" s="11790"/>
      <c r="CV109" s="11791"/>
      <c r="CW109" s="11792"/>
      <c r="CX109" s="11793"/>
      <c r="CY109" s="11794"/>
      <c r="CZ109" s="11795"/>
      <c r="DA109" s="11796"/>
      <c r="DB109" s="11797"/>
      <c r="DC109" s="11798"/>
      <c r="DD109" s="11799"/>
      <c r="DE109" s="11800"/>
      <c r="DF109" s="11801"/>
      <c r="DG109" s="11802"/>
      <c r="DH109" s="11803"/>
      <c r="DI109" s="11804"/>
      <c r="DJ109" s="11805"/>
      <c r="DK109" s="11806"/>
      <c r="DL109" s="11807"/>
      <c r="DM109" s="11808"/>
      <c r="DN109" s="11809"/>
      <c r="DO109" s="11810"/>
      <c r="DP109" s="11811"/>
      <c r="DQ109" s="11812"/>
      <c r="DR109" s="10064" t="s">
        <v>591</v>
      </c>
      <c r="DS109" s="9769"/>
      <c r="DT109" s="10065"/>
      <c r="DU109" s="10065" t="str">
        <f>IF(T109="","",T109)</f>
        <v>Добавить значение признака дифференциации</v>
      </c>
      <c r="DV109" s="10065"/>
      <c r="DW109" s="10065"/>
    </row>
    <row s="19231" customFormat="1" customHeight="1" ht="21">
      <c r="A110" s="10052"/>
      <c r="B110" s="10052"/>
      <c r="C110" s="10052"/>
      <c r="D110" s="10052"/>
      <c r="E110" s="10053"/>
      <c r="F110" s="10053" t="s">
        <v>88</v>
      </c>
      <c r="G110" s="10053"/>
      <c r="H110" s="10053"/>
      <c r="I110" s="10070"/>
      <c r="J110" s="10052"/>
      <c r="K110" s="10052"/>
      <c r="L110" s="10055"/>
      <c r="M110" s="10071"/>
      <c r="N110" s="10071"/>
      <c r="O110" s="10071"/>
      <c r="P110" s="10072"/>
      <c r="Q110" s="10072"/>
      <c r="R110" s="10073"/>
      <c r="S110" s="11814"/>
      <c r="T110" s="11815" t="s">
        <v>518</v>
      </c>
      <c r="U110" s="11816"/>
      <c r="V110" s="11817"/>
      <c r="W110" s="11818"/>
      <c r="X110" s="11819"/>
      <c r="Y110" s="11820"/>
      <c r="Z110" s="11821"/>
      <c r="AA110" s="11822"/>
      <c r="AB110" s="11823"/>
      <c r="AC110" s="11824"/>
      <c r="AD110" s="11825"/>
      <c r="AE110" s="11826"/>
      <c r="AF110" s="11827"/>
      <c r="AG110" s="11828"/>
      <c r="AH110" s="11829"/>
      <c r="AI110" s="11830"/>
      <c r="AJ110" s="11831"/>
      <c r="AK110" s="11832"/>
      <c r="AL110" s="11833"/>
      <c r="AM110" s="11834"/>
      <c r="AN110" s="11835"/>
      <c r="AO110" s="11836"/>
      <c r="AP110" s="11837"/>
      <c r="AQ110" s="11838"/>
      <c r="AR110" s="11839"/>
      <c r="AS110" s="11840"/>
      <c r="AT110" s="11841"/>
      <c r="AU110" s="11842"/>
      <c r="AV110" s="11843"/>
      <c r="AW110" s="11844"/>
      <c r="AX110" s="11845"/>
      <c r="AY110" s="11846"/>
      <c r="AZ110" s="11847"/>
      <c r="BA110" s="11848"/>
      <c r="BB110" s="11849"/>
      <c r="BC110" s="11850"/>
      <c r="BD110" s="11851"/>
      <c r="BE110" s="11852"/>
      <c r="BF110" s="11853"/>
      <c r="BG110" s="11854"/>
      <c r="BH110" s="11855"/>
      <c r="BI110" s="11856"/>
      <c r="BJ110" s="11857"/>
      <c r="BK110" s="11858"/>
      <c r="BL110" s="11859"/>
      <c r="BM110" s="11860"/>
      <c r="BN110" s="11861"/>
      <c r="BO110" s="11862"/>
      <c r="BP110" s="11863"/>
      <c r="BQ110" s="11864"/>
      <c r="BR110" s="11865"/>
      <c r="BS110" s="11866"/>
      <c r="BT110" s="11867"/>
      <c r="BU110" s="11868"/>
      <c r="BV110" s="11869"/>
      <c r="BW110" s="11870"/>
      <c r="BX110" s="11871"/>
      <c r="BY110" s="11872"/>
      <c r="BZ110" s="11873"/>
      <c r="CA110" s="11874"/>
      <c r="CB110" s="11875"/>
      <c r="CC110" s="11876"/>
      <c r="CD110" s="11877"/>
      <c r="CE110" s="11878"/>
      <c r="CF110" s="11879"/>
      <c r="CG110" s="11880"/>
      <c r="CH110" s="11881"/>
      <c r="CI110" s="11882"/>
      <c r="CJ110" s="11883"/>
      <c r="CK110" s="11884"/>
      <c r="CL110" s="11885"/>
      <c r="CM110" s="11886"/>
      <c r="CN110" s="11887"/>
      <c r="CO110" s="11888"/>
      <c r="CP110" s="11889"/>
      <c r="CQ110" s="11890"/>
      <c r="CR110" s="11891"/>
      <c r="CS110" s="11892"/>
      <c r="CT110" s="11893"/>
      <c r="CU110" s="11894"/>
      <c r="CV110" s="11895"/>
      <c r="CW110" s="11896"/>
      <c r="CX110" s="11897"/>
      <c r="CY110" s="11898"/>
      <c r="CZ110" s="11899"/>
      <c r="DA110" s="11900"/>
      <c r="DB110" s="11901"/>
      <c r="DC110" s="11902"/>
      <c r="DD110" s="11903"/>
      <c r="DE110" s="11904"/>
      <c r="DF110" s="11905"/>
      <c r="DG110" s="11906"/>
      <c r="DH110" s="11907"/>
      <c r="DI110" s="11908"/>
      <c r="DJ110" s="11909"/>
      <c r="DK110" s="11910"/>
      <c r="DL110" s="11911"/>
      <c r="DM110" s="11912"/>
      <c r="DN110" s="11913"/>
      <c r="DO110" s="11914"/>
      <c r="DP110" s="11915"/>
      <c r="DQ110" s="11916"/>
      <c r="DR110" s="11917"/>
      <c r="DS110" s="9769"/>
      <c r="DT110" s="10065"/>
      <c r="DU110" s="10065" t="str">
        <f>IF(T110="","",T110)</f>
        <v>Добавить группу потребителей</v>
      </c>
      <c r="DV110" s="10065"/>
      <c r="DW110" s="10065"/>
    </row>
    <row s="19336" customFormat="1" customHeight="1" ht="21">
      <c r="A111" s="10052"/>
      <c r="B111" s="10052"/>
      <c r="C111" s="10052"/>
      <c r="D111" s="10052"/>
      <c r="E111" s="10053"/>
      <c r="F111" s="10053" t="s">
        <v>88</v>
      </c>
      <c r="G111" s="10053"/>
      <c r="H111" s="10054"/>
      <c r="I111" s="10052"/>
      <c r="J111" s="10052"/>
      <c r="K111" s="10052"/>
      <c r="L111" s="10055"/>
      <c r="M111" s="10056"/>
      <c r="N111" s="10056"/>
      <c r="O111" s="9754"/>
      <c r="P111" s="10303"/>
      <c r="Q111" s="10304"/>
      <c r="R111" s="10305"/>
      <c r="S111" s="11919"/>
      <c r="T111" s="11920" t="s">
        <v>592</v>
      </c>
      <c r="U111" s="11921"/>
      <c r="V111" s="11922"/>
      <c r="W111" s="11923"/>
      <c r="X111" s="11924"/>
      <c r="Y111" s="11925"/>
      <c r="Z111" s="11926"/>
      <c r="AA111" s="11927"/>
      <c r="AB111" s="11928"/>
      <c r="AC111" s="11929"/>
      <c r="AD111" s="11930"/>
      <c r="AE111" s="11931"/>
      <c r="AF111" s="11932"/>
      <c r="AG111" s="11933"/>
      <c r="AH111" s="11934"/>
      <c r="AI111" s="11935"/>
      <c r="AJ111" s="11936"/>
      <c r="AK111" s="11937"/>
      <c r="AL111" s="11938"/>
      <c r="AM111" s="11939"/>
      <c r="AN111" s="11940"/>
      <c r="AO111" s="11941"/>
      <c r="AP111" s="11942"/>
      <c r="AQ111" s="11943"/>
      <c r="AR111" s="11944"/>
      <c r="AS111" s="11945"/>
      <c r="AT111" s="11946"/>
      <c r="AU111" s="11947"/>
      <c r="AV111" s="11948"/>
      <c r="AW111" s="11949"/>
      <c r="AX111" s="11950"/>
      <c r="AY111" s="11951"/>
      <c r="AZ111" s="11952"/>
      <c r="BA111" s="11953"/>
      <c r="BB111" s="11954"/>
      <c r="BC111" s="11955"/>
      <c r="BD111" s="11956"/>
      <c r="BE111" s="11957"/>
      <c r="BF111" s="11958"/>
      <c r="BG111" s="11959"/>
      <c r="BH111" s="11960"/>
      <c r="BI111" s="11961"/>
      <c r="BJ111" s="11962"/>
      <c r="BK111" s="11963"/>
      <c r="BL111" s="11964"/>
      <c r="BM111" s="11965"/>
      <c r="BN111" s="11966"/>
      <c r="BO111" s="11967"/>
      <c r="BP111" s="11968"/>
      <c r="BQ111" s="11969"/>
      <c r="BR111" s="11970"/>
      <c r="BS111" s="11971"/>
      <c r="BT111" s="11972"/>
      <c r="BU111" s="11973"/>
      <c r="BV111" s="11974"/>
      <c r="BW111" s="11975"/>
      <c r="BX111" s="11976"/>
      <c r="BY111" s="11977"/>
      <c r="BZ111" s="11978"/>
      <c r="CA111" s="11979"/>
      <c r="CB111" s="11980"/>
      <c r="CC111" s="11981"/>
      <c r="CD111" s="11982"/>
      <c r="CE111" s="11983"/>
      <c r="CF111" s="11984"/>
      <c r="CG111" s="11985"/>
      <c r="CH111" s="11986"/>
      <c r="CI111" s="11987"/>
      <c r="CJ111" s="11988"/>
      <c r="CK111" s="11989"/>
      <c r="CL111" s="11990"/>
      <c r="CM111" s="11991"/>
      <c r="CN111" s="11992"/>
      <c r="CO111" s="11993"/>
      <c r="CP111" s="11994"/>
      <c r="CQ111" s="11995"/>
      <c r="CR111" s="11996"/>
      <c r="CS111" s="11997"/>
      <c r="CT111" s="11998"/>
      <c r="CU111" s="11999"/>
      <c r="CV111" s="12000"/>
      <c r="CW111" s="12001"/>
      <c r="CX111" s="12002"/>
      <c r="CY111" s="12003"/>
      <c r="CZ111" s="12004"/>
      <c r="DA111" s="12005"/>
      <c r="DB111" s="12006"/>
      <c r="DC111" s="12007"/>
      <c r="DD111" s="12008"/>
      <c r="DE111" s="12009"/>
      <c r="DF111" s="12010"/>
      <c r="DG111" s="12011"/>
      <c r="DH111" s="12012"/>
      <c r="DI111" s="12013"/>
      <c r="DJ111" s="12014"/>
      <c r="DK111" s="12015"/>
      <c r="DL111" s="12016"/>
      <c r="DM111" s="12017"/>
      <c r="DN111" s="12018"/>
      <c r="DO111" s="12019"/>
      <c r="DP111" s="12020"/>
      <c r="DQ111" s="12021"/>
      <c r="DR111" s="12022"/>
      <c r="DS111" s="9769"/>
      <c r="DT111" s="10065"/>
      <c r="DU111" s="10065" t="str">
        <f>IF(T111="","",T111)</f>
        <v>Добавить наименование признака дифференциации</v>
      </c>
      <c r="DV111" s="10065"/>
      <c r="DW111" s="10065"/>
    </row>
    <row s="19441" customFormat="1" customHeight="1" ht="14.25">
      <c r="A112" s="10411"/>
      <c r="B112" s="10411"/>
      <c r="C112" s="10411"/>
      <c r="D112" s="10411"/>
      <c r="E112" s="10053"/>
      <c r="F112" s="10054" t="s">
        <v>88</v>
      </c>
      <c r="G112" s="10411"/>
      <c r="H112" s="10411"/>
      <c r="I112" s="10411"/>
      <c r="J112" s="10411"/>
      <c r="K112" s="10411"/>
      <c r="L112" s="10412"/>
      <c r="M112" s="10413"/>
      <c r="N112" s="10413"/>
      <c r="O112" s="9769"/>
      <c r="P112" s="10414"/>
      <c r="Q112" s="10415"/>
      <c r="R112" s="10414"/>
      <c r="S112" s="10416"/>
      <c r="T112" s="10417" t="s">
        <v>305</v>
      </c>
      <c r="U112" s="9751"/>
      <c r="V112" s="9751"/>
      <c r="W112" s="9751"/>
      <c r="X112" s="9751"/>
      <c r="Y112" s="9751"/>
      <c r="Z112" s="9751"/>
      <c r="AA112" s="9751"/>
      <c r="AB112" s="9751"/>
      <c r="AC112" s="9751"/>
      <c r="AD112" s="9751"/>
      <c r="AE112" s="9751"/>
      <c r="AF112" s="9751"/>
      <c r="AG112" s="9751"/>
      <c r="AH112" s="9751"/>
      <c r="AI112" s="9751"/>
      <c r="AJ112" s="9751"/>
      <c r="AK112" s="9751"/>
      <c r="AL112" s="9751"/>
      <c r="AM112" s="9751"/>
      <c r="AN112" s="9751"/>
      <c r="AO112" s="9751"/>
      <c r="AP112" s="9751"/>
      <c r="AQ112" s="9751"/>
      <c r="AR112" s="9751"/>
      <c r="AS112" s="9751"/>
      <c r="AT112" s="9751"/>
      <c r="AU112" s="9751"/>
      <c r="AV112" s="9751"/>
      <c r="AW112" s="9751"/>
      <c r="AX112" s="9751"/>
      <c r="AY112" s="9751"/>
      <c r="AZ112" s="9751"/>
      <c r="BA112" s="9751"/>
      <c r="BB112" s="9751"/>
      <c r="BC112" s="9751"/>
      <c r="BD112" s="9751"/>
      <c r="BE112" s="9751"/>
      <c r="BF112" s="9751"/>
      <c r="BG112" s="9751"/>
      <c r="BH112" s="9751"/>
      <c r="BI112" s="9751"/>
      <c r="BJ112" s="9751"/>
      <c r="BK112" s="9751"/>
      <c r="BL112" s="9751"/>
      <c r="BM112" s="9751"/>
      <c r="BN112" s="9751"/>
      <c r="BO112" s="9751"/>
      <c r="BP112" s="9751"/>
      <c r="BQ112" s="9751"/>
      <c r="BR112" s="9751"/>
      <c r="BS112" s="9751"/>
      <c r="BT112" s="9751"/>
      <c r="BU112" s="9751"/>
      <c r="BV112" s="9751"/>
      <c r="BW112" s="9751"/>
      <c r="BX112" s="9751"/>
      <c r="BY112" s="9751"/>
      <c r="BZ112" s="9751"/>
      <c r="CA112" s="9751"/>
      <c r="CB112" s="9751"/>
      <c r="CC112" s="9751"/>
      <c r="CD112" s="9751"/>
      <c r="CE112" s="9751"/>
      <c r="CF112" s="9751"/>
      <c r="CG112" s="9751"/>
      <c r="CH112" s="9751"/>
      <c r="CI112" s="9751"/>
      <c r="CJ112" s="9751"/>
      <c r="CK112" s="9751"/>
      <c r="CL112" s="9751"/>
      <c r="CM112" s="9751"/>
      <c r="CN112" s="9751"/>
      <c r="CO112" s="9751"/>
      <c r="CP112" s="9751"/>
      <c r="CQ112" s="9751"/>
      <c r="CR112" s="9751"/>
      <c r="CS112" s="9751"/>
      <c r="CT112" s="10418"/>
      <c r="CU112" s="9751"/>
      <c r="CV112" s="9751"/>
      <c r="CW112" s="9751"/>
      <c r="CX112" s="9751"/>
      <c r="CY112" s="9751"/>
      <c r="CZ112" s="9751"/>
      <c r="DA112" s="9751"/>
      <c r="DB112" s="9751"/>
      <c r="DC112" s="9751"/>
      <c r="DD112" s="9751"/>
      <c r="DE112" s="9751"/>
      <c r="DF112" s="9751"/>
      <c r="DG112" s="9751"/>
      <c r="DH112" s="9751"/>
      <c r="DI112" s="9751"/>
      <c r="DJ112" s="9751"/>
      <c r="DK112" s="9751"/>
      <c r="DL112" s="9751"/>
      <c r="DM112" s="9751"/>
      <c r="DN112" s="9751"/>
      <c r="DO112" s="9751"/>
      <c r="DP112" s="9751"/>
      <c r="DQ112" s="9751"/>
      <c r="DR112" s="9751"/>
      <c r="DS112" s="9769"/>
      <c r="DT112" s="10065"/>
      <c r="DU112" s="10065" t="str">
        <f>IF(T112="","",T112)</f>
        <v>Добавить централизованную систему для дифференциации</v>
      </c>
      <c r="DV112" s="10065"/>
      <c r="DW112" s="10065"/>
    </row>
    <row s="19442" customFormat="1" customHeight="1" ht="23.25">
      <c r="A113" s="10052"/>
      <c r="B113" s="10052" t="s">
        <v>331</v>
      </c>
      <c r="C113" s="10052"/>
      <c r="D113" s="10052"/>
      <c r="E113" s="10053"/>
      <c r="F113" s="10054" t="s">
        <v>126</v>
      </c>
      <c r="G113" s="10052"/>
      <c r="H113" s="10052"/>
      <c r="I113" s="10052"/>
      <c r="J113" s="10052"/>
      <c r="K113" s="10052"/>
      <c r="L113" s="10055"/>
      <c r="M113" s="10056"/>
      <c r="N113" s="10056"/>
      <c r="O113" s="10056"/>
      <c r="P113" s="10057"/>
      <c r="Q113" s="10058"/>
      <c r="R113" s="10059"/>
      <c r="S113" s="10060" t="str">
        <f>INDEX(PT_DIFFERENTIATION_NUM_TER,MATCH(B113,PT_DIFFERENTIATION_TER_ID,0))</f>
        <v>1.8</v>
      </c>
      <c r="T113" s="10061" t="s">
        <v>503</v>
      </c>
      <c r="U113" s="10062"/>
      <c r="V113" s="9494"/>
      <c r="W113" s="9495"/>
      <c r="X113" s="9495"/>
      <c r="Y113" s="9495"/>
      <c r="Z113" s="9495"/>
      <c r="AA113" s="9495"/>
      <c r="AB113" s="9495"/>
      <c r="AC113" s="9495"/>
      <c r="AD113" s="9495"/>
      <c r="AE113" s="9495"/>
      <c r="AF113" s="9496"/>
      <c r="AG113" s="9494" t="str">
        <f>INDEX(PT_DIFFERENTIATION_TER,MATCH(B113,PT_DIFFERENTIATION_TER_ID,0))</f>
        <v>Территория 8</v>
      </c>
      <c r="AH113" s="9495"/>
      <c r="AI113" s="9495"/>
      <c r="AJ113" s="9495"/>
      <c r="AK113" s="9495"/>
      <c r="AL113" s="9495"/>
      <c r="AM113" s="9495"/>
      <c r="AN113" s="9495"/>
      <c r="AO113" s="9495"/>
      <c r="AP113" s="9495"/>
      <c r="AQ113" s="9495"/>
      <c r="AR113" s="9494"/>
      <c r="AS113" s="9495"/>
      <c r="AT113" s="9495"/>
      <c r="AU113" s="9495"/>
      <c r="AV113" s="9495"/>
      <c r="AW113" s="9495"/>
      <c r="AX113" s="9495"/>
      <c r="AY113" s="9495"/>
      <c r="AZ113" s="9495"/>
      <c r="BA113" s="9495"/>
      <c r="BB113" s="9496"/>
      <c r="BC113" s="9494"/>
      <c r="BD113" s="9495"/>
      <c r="BE113" s="9495"/>
      <c r="BF113" s="9495"/>
      <c r="BG113" s="9495"/>
      <c r="BH113" s="9495"/>
      <c r="BI113" s="9495"/>
      <c r="BJ113" s="9495"/>
      <c r="BK113" s="9495"/>
      <c r="BL113" s="9495"/>
      <c r="BM113" s="9496"/>
      <c r="BN113" s="9494"/>
      <c r="BO113" s="9495"/>
      <c r="BP113" s="9495"/>
      <c r="BQ113" s="9495"/>
      <c r="BR113" s="9495"/>
      <c r="BS113" s="9495"/>
      <c r="BT113" s="9495"/>
      <c r="BU113" s="9495"/>
      <c r="BV113" s="9495"/>
      <c r="BW113" s="9495"/>
      <c r="BX113" s="9496"/>
      <c r="BY113" s="9494"/>
      <c r="BZ113" s="9495"/>
      <c r="CA113" s="9495"/>
      <c r="CB113" s="9495"/>
      <c r="CC113" s="9495"/>
      <c r="CD113" s="9495"/>
      <c r="CE113" s="9495"/>
      <c r="CF113" s="9495"/>
      <c r="CG113" s="9495"/>
      <c r="CH113" s="9495"/>
      <c r="CI113" s="9496"/>
      <c r="CJ113" s="9494"/>
      <c r="CK113" s="9495"/>
      <c r="CL113" s="9495"/>
      <c r="CM113" s="9495"/>
      <c r="CN113" s="9495"/>
      <c r="CO113" s="9495"/>
      <c r="CP113" s="9495"/>
      <c r="CQ113" s="9495"/>
      <c r="CR113" s="9495"/>
      <c r="CS113" s="9495"/>
      <c r="CT113" s="10063"/>
      <c r="CU113" s="9494"/>
      <c r="CV113" s="9495"/>
      <c r="CW113" s="9495"/>
      <c r="CX113" s="9495"/>
      <c r="CY113" s="9495"/>
      <c r="CZ113" s="9495"/>
      <c r="DA113" s="9495"/>
      <c r="DB113" s="9495"/>
      <c r="DC113" s="9495"/>
      <c r="DD113" s="9495"/>
      <c r="DE113" s="9496"/>
      <c r="DF113" s="9494"/>
      <c r="DG113" s="9495"/>
      <c r="DH113" s="9495"/>
      <c r="DI113" s="9495"/>
      <c r="DJ113" s="9495"/>
      <c r="DK113" s="9495"/>
      <c r="DL113" s="9495"/>
      <c r="DM113" s="9495"/>
      <c r="DN113" s="9495"/>
      <c r="DO113" s="9495"/>
      <c r="DP113" s="9496"/>
      <c r="DQ113" s="9496"/>
      <c r="DR113" s="10064" t="s">
        <v>504</v>
      </c>
      <c r="DS113" s="9769"/>
      <c r="DT113" s="10065"/>
      <c r="DU113" s="10065" t="str">
        <f>IF(T113="","",T113)</f>
        <v>Территория действия тарифа</v>
      </c>
      <c r="DV113" s="10065"/>
      <c r="DW113" s="10065"/>
    </row>
    <row s="19443" customFormat="1" customHeight="1" ht="23.25">
      <c r="A114" s="10052"/>
      <c r="B114" s="10052"/>
      <c r="C114" s="10052" t="s">
        <v>332</v>
      </c>
      <c r="D114" s="10052"/>
      <c r="E114" s="10053"/>
      <c r="F114" s="10053" t="s">
        <v>89</v>
      </c>
      <c r="G114" s="10054">
        <v>1</v>
      </c>
      <c r="H114" s="10052"/>
      <c r="I114" s="10052"/>
      <c r="J114" s="10052"/>
      <c r="K114" s="10052"/>
      <c r="L114" s="10055"/>
      <c r="M114" s="10056"/>
      <c r="N114" s="10056"/>
      <c r="O114" s="10056"/>
      <c r="P114" s="10067"/>
      <c r="Q114" s="10058"/>
      <c r="R114" s="10059"/>
      <c r="S114" s="10060" t="str">
        <f>INDEX(PT_DIFFERENTIATION_NUM_CS,MATCH(C114,PT_DIFFERENTIATION_CS_ID,0))</f>
        <v>1.8.1</v>
      </c>
      <c r="T114" s="10068" t="s">
        <v>634</v>
      </c>
      <c r="U114" s="10062"/>
      <c r="V114" s="9494"/>
      <c r="W114" s="9495"/>
      <c r="X114" s="9495"/>
      <c r="Y114" s="9495"/>
      <c r="Z114" s="9495"/>
      <c r="AA114" s="9495"/>
      <c r="AB114" s="9495"/>
      <c r="AC114" s="9495"/>
      <c r="AD114" s="9495"/>
      <c r="AE114" s="9495"/>
      <c r="AF114" s="9496"/>
      <c r="AG114" s="9494" t="str">
        <f>INDEX(PT_DIFFERENTIATION_CS,MATCH(C114,PT_DIFFERENTIATION_CS_ID,0))</f>
        <v>с. Светлогорье</v>
      </c>
      <c r="AH114" s="9495"/>
      <c r="AI114" s="9495"/>
      <c r="AJ114" s="9495"/>
      <c r="AK114" s="9495"/>
      <c r="AL114" s="9495"/>
      <c r="AM114" s="9495"/>
      <c r="AN114" s="9495"/>
      <c r="AO114" s="9495"/>
      <c r="AP114" s="9495"/>
      <c r="AQ114" s="9495"/>
      <c r="AR114" s="9494"/>
      <c r="AS114" s="9495"/>
      <c r="AT114" s="9495"/>
      <c r="AU114" s="9495"/>
      <c r="AV114" s="9495"/>
      <c r="AW114" s="9495"/>
      <c r="AX114" s="9495"/>
      <c r="AY114" s="9495"/>
      <c r="AZ114" s="9495"/>
      <c r="BA114" s="9495"/>
      <c r="BB114" s="9496"/>
      <c r="BC114" s="9494"/>
      <c r="BD114" s="9495"/>
      <c r="BE114" s="9495"/>
      <c r="BF114" s="9495"/>
      <c r="BG114" s="9495"/>
      <c r="BH114" s="9495"/>
      <c r="BI114" s="9495"/>
      <c r="BJ114" s="9495"/>
      <c r="BK114" s="9495"/>
      <c r="BL114" s="9495"/>
      <c r="BM114" s="9496"/>
      <c r="BN114" s="9494"/>
      <c r="BO114" s="9495"/>
      <c r="BP114" s="9495"/>
      <c r="BQ114" s="9495"/>
      <c r="BR114" s="9495"/>
      <c r="BS114" s="9495"/>
      <c r="BT114" s="9495"/>
      <c r="BU114" s="9495"/>
      <c r="BV114" s="9495"/>
      <c r="BW114" s="9495"/>
      <c r="BX114" s="9496"/>
      <c r="BY114" s="9494"/>
      <c r="BZ114" s="9495"/>
      <c r="CA114" s="9495"/>
      <c r="CB114" s="9495"/>
      <c r="CC114" s="9495"/>
      <c r="CD114" s="9495"/>
      <c r="CE114" s="9495"/>
      <c r="CF114" s="9495"/>
      <c r="CG114" s="9495"/>
      <c r="CH114" s="9495"/>
      <c r="CI114" s="9496"/>
      <c r="CJ114" s="9494"/>
      <c r="CK114" s="9495"/>
      <c r="CL114" s="9495"/>
      <c r="CM114" s="9495"/>
      <c r="CN114" s="9495"/>
      <c r="CO114" s="9495"/>
      <c r="CP114" s="9495"/>
      <c r="CQ114" s="9495"/>
      <c r="CR114" s="9495"/>
      <c r="CS114" s="9495"/>
      <c r="CT114" s="10063"/>
      <c r="CU114" s="9494"/>
      <c r="CV114" s="9495"/>
      <c r="CW114" s="9495"/>
      <c r="CX114" s="9495"/>
      <c r="CY114" s="9495"/>
      <c r="CZ114" s="9495"/>
      <c r="DA114" s="9495"/>
      <c r="DB114" s="9495"/>
      <c r="DC114" s="9495"/>
      <c r="DD114" s="9495"/>
      <c r="DE114" s="9496"/>
      <c r="DF114" s="9494"/>
      <c r="DG114" s="9495"/>
      <c r="DH114" s="9495"/>
      <c r="DI114" s="9495"/>
      <c r="DJ114" s="9495"/>
      <c r="DK114" s="9495"/>
      <c r="DL114" s="9495"/>
      <c r="DM114" s="9495"/>
      <c r="DN114" s="9495"/>
      <c r="DO114" s="9495"/>
      <c r="DP114" s="9496"/>
      <c r="DQ114" s="9496"/>
      <c r="DR114" s="10064" t="s">
        <v>635</v>
      </c>
      <c r="DS114" s="9769"/>
      <c r="DT114" s="10065"/>
      <c r="DU114" s="10065" t="str">
        <f>IF(T114="","",T114)</f>
        <v>Наименование централизованной системы горячего водоснабжения</v>
      </c>
      <c r="DV114" s="10065"/>
      <c r="DW114" s="10065"/>
    </row>
    <row s="19444" customFormat="1" customHeight="1" ht="23.25">
      <c r="A115" s="10052"/>
      <c r="B115" s="10052"/>
      <c r="C115" s="10052"/>
      <c r="D115" s="10052"/>
      <c r="E115" s="10053"/>
      <c r="F115" s="10053" t="s">
        <v>89</v>
      </c>
      <c r="G115" s="10053"/>
      <c r="H115" s="10053"/>
      <c r="I115" s="10070" t="str">
        <f>S114&amp;".1"</f>
        <v>1.8.1.1</v>
      </c>
      <c r="J115" s="10052"/>
      <c r="K115" s="10052"/>
      <c r="L115" s="10055"/>
      <c r="M115" s="10071"/>
      <c r="N115" s="10071"/>
      <c r="O115" s="10071"/>
      <c r="P115" s="10072">
        <v>1</v>
      </c>
      <c r="Q115" s="10072"/>
      <c r="R115" s="10073"/>
      <c r="S115" s="10060" t="str">
        <f>$I115</f>
        <v>1.8.1.1</v>
      </c>
      <c r="T115" s="10074" t="s">
        <v>587</v>
      </c>
      <c r="U115" s="10062"/>
      <c r="V115" s="9500"/>
      <c r="W115" s="9501"/>
      <c r="X115" s="9501"/>
      <c r="Y115" s="9501"/>
      <c r="Z115" s="9501"/>
      <c r="AA115" s="9501"/>
      <c r="AB115" s="9501"/>
      <c r="AC115" s="9501"/>
      <c r="AD115" s="9501"/>
      <c r="AE115" s="9501"/>
      <c r="AF115" s="9502"/>
      <c r="AG115" s="10075"/>
      <c r="AH115" s="10076"/>
      <c r="AI115" s="10076"/>
      <c r="AJ115" s="10076"/>
      <c r="AK115" s="10076"/>
      <c r="AL115" s="10076"/>
      <c r="AM115" s="10076"/>
      <c r="AN115" s="10076"/>
      <c r="AO115" s="10076"/>
      <c r="AP115" s="10076"/>
      <c r="AQ115" s="10076"/>
      <c r="AR115" s="9500"/>
      <c r="AS115" s="9501"/>
      <c r="AT115" s="9501"/>
      <c r="AU115" s="9501"/>
      <c r="AV115" s="9501"/>
      <c r="AW115" s="9501"/>
      <c r="AX115" s="9501"/>
      <c r="AY115" s="9501"/>
      <c r="AZ115" s="9501"/>
      <c r="BA115" s="9501"/>
      <c r="BB115" s="9502"/>
      <c r="BC115" s="9500"/>
      <c r="BD115" s="9501"/>
      <c r="BE115" s="9501"/>
      <c r="BF115" s="9501"/>
      <c r="BG115" s="9501"/>
      <c r="BH115" s="9501"/>
      <c r="BI115" s="9501"/>
      <c r="BJ115" s="9501"/>
      <c r="BK115" s="9501"/>
      <c r="BL115" s="9501"/>
      <c r="BM115" s="9502"/>
      <c r="BN115" s="9500"/>
      <c r="BO115" s="9501"/>
      <c r="BP115" s="9501"/>
      <c r="BQ115" s="9501"/>
      <c r="BR115" s="9501"/>
      <c r="BS115" s="9501"/>
      <c r="BT115" s="9501"/>
      <c r="BU115" s="9501"/>
      <c r="BV115" s="9501"/>
      <c r="BW115" s="9501"/>
      <c r="BX115" s="9502"/>
      <c r="BY115" s="9500"/>
      <c r="BZ115" s="9501"/>
      <c r="CA115" s="9501"/>
      <c r="CB115" s="9501"/>
      <c r="CC115" s="9501"/>
      <c r="CD115" s="9501"/>
      <c r="CE115" s="9501"/>
      <c r="CF115" s="9501"/>
      <c r="CG115" s="9501"/>
      <c r="CH115" s="9501"/>
      <c r="CI115" s="9502"/>
      <c r="CJ115" s="9500"/>
      <c r="CK115" s="9501"/>
      <c r="CL115" s="9501"/>
      <c r="CM115" s="9501"/>
      <c r="CN115" s="9501"/>
      <c r="CO115" s="9501"/>
      <c r="CP115" s="9501"/>
      <c r="CQ115" s="9501"/>
      <c r="CR115" s="9501"/>
      <c r="CS115" s="9501"/>
      <c r="CT115" s="10077"/>
      <c r="CU115" s="9500"/>
      <c r="CV115" s="9501"/>
      <c r="CW115" s="9501"/>
      <c r="CX115" s="9501"/>
      <c r="CY115" s="9501"/>
      <c r="CZ115" s="9501"/>
      <c r="DA115" s="9501"/>
      <c r="DB115" s="9501"/>
      <c r="DC115" s="9501"/>
      <c r="DD115" s="9501"/>
      <c r="DE115" s="9502"/>
      <c r="DF115" s="9500"/>
      <c r="DG115" s="9501"/>
      <c r="DH115" s="9501"/>
      <c r="DI115" s="9501"/>
      <c r="DJ115" s="9501"/>
      <c r="DK115" s="9501"/>
      <c r="DL115" s="9501"/>
      <c r="DM115" s="9501"/>
      <c r="DN115" s="9501"/>
      <c r="DO115" s="9501"/>
      <c r="DP115" s="9502"/>
      <c r="DQ115" s="10078"/>
      <c r="DR115" s="10064" t="s">
        <v>588</v>
      </c>
      <c r="DS115" s="9769"/>
      <c r="DT115" s="10065"/>
      <c r="DU115" s="10065" t="str">
        <f>IF(T115="","",T115)</f>
        <v>Наименование признака дифференциации</v>
      </c>
      <c r="DV115" s="10065"/>
      <c r="DW115" s="10065"/>
    </row>
    <row s="19445" customFormat="1" customHeight="1" ht="23.25">
      <c r="A116" s="10052"/>
      <c r="B116" s="10052"/>
      <c r="C116" s="10052"/>
      <c r="D116" s="10052"/>
      <c r="E116" s="10053"/>
      <c r="F116" s="10053" t="s">
        <v>89</v>
      </c>
      <c r="G116" s="10053"/>
      <c r="H116" s="10053"/>
      <c r="I116" s="10080"/>
      <c r="J116" s="10070" t="str">
        <f>I115&amp;".1"</f>
        <v>1.8.1.1.1</v>
      </c>
      <c r="K116" s="10052"/>
      <c r="L116" s="10055" t="s">
        <v>512</v>
      </c>
      <c r="M116" s="10071"/>
      <c r="N116" s="10071"/>
      <c r="O116" s="10071"/>
      <c r="P116" s="10072"/>
      <c r="Q116" s="10072">
        <v>1</v>
      </c>
      <c r="R116" s="10081"/>
      <c r="S116" s="10060" t="str">
        <f>$J116</f>
        <v>1.8.1.1.1</v>
      </c>
      <c r="T116" s="10082" t="s">
        <v>513</v>
      </c>
      <c r="U116" s="10062"/>
      <c r="V116" s="9506"/>
      <c r="W116" s="9507"/>
      <c r="X116" s="9507"/>
      <c r="Y116" s="9507"/>
      <c r="Z116" s="9507"/>
      <c r="AA116" s="9507"/>
      <c r="AB116" s="9507"/>
      <c r="AC116" s="9507"/>
      <c r="AD116" s="9507"/>
      <c r="AE116" s="9507"/>
      <c r="AF116" s="9508"/>
      <c r="AG116" s="9506" t="s">
        <v>647</v>
      </c>
      <c r="AH116" s="9507"/>
      <c r="AI116" s="9507"/>
      <c r="AJ116" s="9507"/>
      <c r="AK116" s="9507"/>
      <c r="AL116" s="9507"/>
      <c r="AM116" s="9507"/>
      <c r="AN116" s="9507"/>
      <c r="AO116" s="9507"/>
      <c r="AP116" s="9507"/>
      <c r="AQ116" s="9507"/>
      <c r="AR116" s="9506"/>
      <c r="AS116" s="9507"/>
      <c r="AT116" s="9507"/>
      <c r="AU116" s="9507"/>
      <c r="AV116" s="9507"/>
      <c r="AW116" s="9507"/>
      <c r="AX116" s="9507"/>
      <c r="AY116" s="9507"/>
      <c r="AZ116" s="9507"/>
      <c r="BA116" s="9507"/>
      <c r="BB116" s="9508"/>
      <c r="BC116" s="9506"/>
      <c r="BD116" s="9507"/>
      <c r="BE116" s="9507"/>
      <c r="BF116" s="9507"/>
      <c r="BG116" s="9507"/>
      <c r="BH116" s="9507"/>
      <c r="BI116" s="9507"/>
      <c r="BJ116" s="9507"/>
      <c r="BK116" s="9507"/>
      <c r="BL116" s="9507"/>
      <c r="BM116" s="9508"/>
      <c r="BN116" s="9506"/>
      <c r="BO116" s="9507"/>
      <c r="BP116" s="9507"/>
      <c r="BQ116" s="9507"/>
      <c r="BR116" s="9507"/>
      <c r="BS116" s="9507"/>
      <c r="BT116" s="9507"/>
      <c r="BU116" s="9507"/>
      <c r="BV116" s="9507"/>
      <c r="BW116" s="9507"/>
      <c r="BX116" s="9508"/>
      <c r="BY116" s="9506"/>
      <c r="BZ116" s="9507"/>
      <c r="CA116" s="9507"/>
      <c r="CB116" s="9507"/>
      <c r="CC116" s="9507"/>
      <c r="CD116" s="9507"/>
      <c r="CE116" s="9507"/>
      <c r="CF116" s="9507"/>
      <c r="CG116" s="9507"/>
      <c r="CH116" s="9507"/>
      <c r="CI116" s="9508"/>
      <c r="CJ116" s="9506"/>
      <c r="CK116" s="9507"/>
      <c r="CL116" s="9507"/>
      <c r="CM116" s="9507"/>
      <c r="CN116" s="9507"/>
      <c r="CO116" s="9507"/>
      <c r="CP116" s="9507"/>
      <c r="CQ116" s="9507"/>
      <c r="CR116" s="9507"/>
      <c r="CS116" s="9507"/>
      <c r="CT116" s="10083"/>
      <c r="CU116" s="9506"/>
      <c r="CV116" s="9507"/>
      <c r="CW116" s="9507"/>
      <c r="CX116" s="9507"/>
      <c r="CY116" s="9507"/>
      <c r="CZ116" s="9507"/>
      <c r="DA116" s="9507"/>
      <c r="DB116" s="9507"/>
      <c r="DC116" s="9507"/>
      <c r="DD116" s="9507"/>
      <c r="DE116" s="9508"/>
      <c r="DF116" s="9506"/>
      <c r="DG116" s="9507"/>
      <c r="DH116" s="9507"/>
      <c r="DI116" s="9507"/>
      <c r="DJ116" s="9507"/>
      <c r="DK116" s="9507"/>
      <c r="DL116" s="9507"/>
      <c r="DM116" s="9507"/>
      <c r="DN116" s="9507"/>
      <c r="DO116" s="9507"/>
      <c r="DP116" s="9508"/>
      <c r="DQ116" s="9508"/>
      <c r="DR116" s="10084" t="s">
        <v>589</v>
      </c>
      <c r="DS116" s="9769"/>
      <c r="DT116" s="10065"/>
      <c r="DU116" s="10065" t="str">
        <f>IF(T116="","",T116)</f>
        <v>Группа потребителей</v>
      </c>
      <c r="DV116" s="10065"/>
      <c r="DW116" s="10065"/>
    </row>
    <row s="19446" customFormat="1" customHeight="1" ht="23.25">
      <c r="A117" s="10052"/>
      <c r="B117" s="10052"/>
      <c r="C117" s="10052"/>
      <c r="D117" s="10052"/>
      <c r="E117" s="10053"/>
      <c r="F117" s="10053" t="s">
        <v>89</v>
      </c>
      <c r="G117" s="10053"/>
      <c r="H117" s="10053"/>
      <c r="I117" s="10080"/>
      <c r="J117" s="10080"/>
      <c r="K117" s="10070" t="str">
        <f>J116&amp;".1"</f>
        <v>1.8.1.1.1.1</v>
      </c>
      <c r="L117" s="10055"/>
      <c r="M117" s="10071"/>
      <c r="N117" s="10071"/>
      <c r="O117" s="10071"/>
      <c r="P117" s="10072"/>
      <c r="Q117" s="10072"/>
      <c r="R117" s="10081">
        <v>1</v>
      </c>
      <c r="S117" s="10060" t="str">
        <f>$K117</f>
        <v>1.8.1.1.1.1</v>
      </c>
      <c r="T117" s="10086"/>
      <c r="U117" s="10062"/>
      <c r="V117" s="9512"/>
      <c r="W117" s="9512"/>
      <c r="X117" s="9512"/>
      <c r="Y117" s="9512"/>
      <c r="Z117" s="9512"/>
      <c r="AA117" s="9512"/>
      <c r="AB117" s="9512"/>
      <c r="AC117" s="9513"/>
      <c r="AD117" s="9514" t="s">
        <v>63</v>
      </c>
      <c r="AE117" s="9513"/>
      <c r="AF117" s="9514" t="s">
        <v>63</v>
      </c>
      <c r="AG117" s="9512">
        <v>451.88</v>
      </c>
      <c r="AH117" s="9512"/>
      <c r="AI117" s="9512"/>
      <c r="AJ117" s="9512"/>
      <c r="AK117" s="9512"/>
      <c r="AL117" s="9512"/>
      <c r="AM117" s="9512"/>
      <c r="AN117" s="9513">
        <v>45658.6134375</v>
      </c>
      <c r="AO117" s="9514" t="s">
        <v>63</v>
      </c>
      <c r="AP117" s="9817">
        <v>45838.61361111111</v>
      </c>
      <c r="AQ117" s="9514" t="s">
        <v>63</v>
      </c>
      <c r="AR117" s="9512">
        <v>619.66</v>
      </c>
      <c r="AS117" s="9512"/>
      <c r="AT117" s="9512"/>
      <c r="AU117" s="9512"/>
      <c r="AV117" s="9512"/>
      <c r="AW117" s="9512"/>
      <c r="AX117" s="9512"/>
      <c r="AY117" s="9513">
        <v>45839.61377314815</v>
      </c>
      <c r="AZ117" s="9514" t="s">
        <v>63</v>
      </c>
      <c r="BA117" s="9513">
        <v>46022.61398148148</v>
      </c>
      <c r="BB117" s="9514" t="s">
        <v>63</v>
      </c>
      <c r="BC117" s="9512">
        <v>619.66</v>
      </c>
      <c r="BD117" s="9512"/>
      <c r="BE117" s="9512"/>
      <c r="BF117" s="9512"/>
      <c r="BG117" s="9512"/>
      <c r="BH117" s="9512"/>
      <c r="BI117" s="9512"/>
      <c r="BJ117" s="9513">
        <v>46023.63329861111</v>
      </c>
      <c r="BK117" s="9514" t="s">
        <v>63</v>
      </c>
      <c r="BL117" s="9513">
        <v>46203.63369212963</v>
      </c>
      <c r="BM117" s="9514" t="s">
        <v>63</v>
      </c>
      <c r="BN117" s="9512">
        <v>644.45</v>
      </c>
      <c r="BO117" s="9512"/>
      <c r="BP117" s="9512"/>
      <c r="BQ117" s="9512"/>
      <c r="BR117" s="9512"/>
      <c r="BS117" s="9512"/>
      <c r="BT117" s="9512"/>
      <c r="BU117" s="9513">
        <v>46204.63417824074</v>
      </c>
      <c r="BV117" s="9514" t="s">
        <v>63</v>
      </c>
      <c r="BW117" s="9513">
        <v>46387.63453703704</v>
      </c>
      <c r="BX117" s="9514" t="s">
        <v>63</v>
      </c>
      <c r="BY117" s="9512">
        <v>644.45</v>
      </c>
      <c r="BZ117" s="9512"/>
      <c r="CA117" s="9512"/>
      <c r="CB117" s="9512"/>
      <c r="CC117" s="9512"/>
      <c r="CD117" s="9512"/>
      <c r="CE117" s="9512"/>
      <c r="CF117" s="9513">
        <v>46388.641238425924</v>
      </c>
      <c r="CG117" s="9514" t="s">
        <v>63</v>
      </c>
      <c r="CH117" s="9513">
        <v>46568.64136574074</v>
      </c>
      <c r="CI117" s="9514" t="s">
        <v>63</v>
      </c>
      <c r="CJ117" s="9512">
        <v>670.22</v>
      </c>
      <c r="CK117" s="9512"/>
      <c r="CL117" s="9512"/>
      <c r="CM117" s="9512"/>
      <c r="CN117" s="9512"/>
      <c r="CO117" s="9512"/>
      <c r="CP117" s="9512"/>
      <c r="CQ117" s="9513">
        <v>46569.644166666665</v>
      </c>
      <c r="CR117" s="9514" t="s">
        <v>63</v>
      </c>
      <c r="CS117" s="9513">
        <v>46752.64449074074</v>
      </c>
      <c r="CT117" s="10087" t="s">
        <v>63</v>
      </c>
      <c r="CU117" s="9512">
        <v>670.22</v>
      </c>
      <c r="CV117" s="9512"/>
      <c r="CW117" s="9512"/>
      <c r="CX117" s="9512"/>
      <c r="CY117" s="9512"/>
      <c r="CZ117" s="9512"/>
      <c r="DA117" s="9512"/>
      <c r="DB117" s="9513">
        <v>46753.647627314815</v>
      </c>
      <c r="DC117" s="9514" t="s">
        <v>63</v>
      </c>
      <c r="DD117" s="9513">
        <v>46934.6478587963</v>
      </c>
      <c r="DE117" s="9514" t="s">
        <v>63</v>
      </c>
      <c r="DF117" s="9512">
        <v>697.03</v>
      </c>
      <c r="DG117" s="9512"/>
      <c r="DH117" s="9512"/>
      <c r="DI117" s="9512"/>
      <c r="DJ117" s="9512"/>
      <c r="DK117" s="9512"/>
      <c r="DL117" s="9512"/>
      <c r="DM117" s="9513">
        <v>46935.66133101852</v>
      </c>
      <c r="DN117" s="9514" t="s">
        <v>63</v>
      </c>
      <c r="DO117" s="9513">
        <v>47118.66144675926</v>
      </c>
      <c r="DP117" s="9514" t="s">
        <v>63</v>
      </c>
      <c r="DQ117" s="10088"/>
      <c r="DR117" s="100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S117" s="9769">
        <f>STRCHECKDATE(V118:DQ118)</f>
      </c>
      <c r="DT117" s="10065"/>
      <c r="DU117" s="10065" t="str">
        <f>IF(T117="","",T117)</f>
        <v/>
      </c>
      <c r="DV117" s="10065"/>
      <c r="DW117" s="10065"/>
    </row>
    <row s="19447" customFormat="1" customHeight="1" ht="14.25">
      <c r="A118" s="10052"/>
      <c r="B118" s="10052"/>
      <c r="C118" s="10052"/>
      <c r="D118" s="10052"/>
      <c r="E118" s="10053"/>
      <c r="F118" s="10053" t="s">
        <v>89</v>
      </c>
      <c r="G118" s="10053"/>
      <c r="H118" s="10053"/>
      <c r="I118" s="10080"/>
      <c r="J118" s="10080"/>
      <c r="K118" s="10070"/>
      <c r="L118" s="10055"/>
      <c r="M118" s="10071"/>
      <c r="N118" s="10071"/>
      <c r="O118" s="10071"/>
      <c r="P118" s="10072"/>
      <c r="Q118" s="10072"/>
      <c r="R118" s="10081"/>
      <c r="S118" s="10091"/>
      <c r="T118" s="10062"/>
      <c r="U118" s="10062"/>
      <c r="V118" s="9517"/>
      <c r="W118" s="9517"/>
      <c r="X118" s="9517"/>
      <c r="Y118" s="9517"/>
      <c r="Z118" s="9517"/>
      <c r="AA118" s="9517"/>
      <c r="AB118" s="9517"/>
      <c r="AC118" s="9518"/>
      <c r="AD118" s="9514"/>
      <c r="AE118" s="9518"/>
      <c r="AF118" s="9514"/>
      <c r="AG118" s="9517"/>
      <c r="AH118" s="9517"/>
      <c r="AI118" s="9517"/>
      <c r="AJ118" s="9517"/>
      <c r="AK118" s="9517"/>
      <c r="AL118" s="9517"/>
      <c r="AM118" s="9517"/>
      <c r="AN118" s="9518"/>
      <c r="AO118" s="9514"/>
      <c r="AP118" s="9819"/>
      <c r="AQ118" s="9514"/>
      <c r="AR118" s="9517"/>
      <c r="AS118" s="9517"/>
      <c r="AT118" s="9517"/>
      <c r="AU118" s="9517"/>
      <c r="AV118" s="9517"/>
      <c r="AW118" s="9517"/>
      <c r="AX118" s="9517"/>
      <c r="AY118" s="9518"/>
      <c r="AZ118" s="9514"/>
      <c r="BA118" s="9518"/>
      <c r="BB118" s="9514"/>
      <c r="BC118" s="9517"/>
      <c r="BD118" s="9517"/>
      <c r="BE118" s="9517"/>
      <c r="BF118" s="9517"/>
      <c r="BG118" s="9517"/>
      <c r="BH118" s="9517"/>
      <c r="BI118" s="9517"/>
      <c r="BJ118" s="9518"/>
      <c r="BK118" s="9514"/>
      <c r="BL118" s="9518"/>
      <c r="BM118" s="9514"/>
      <c r="BN118" s="9517"/>
      <c r="BO118" s="9517"/>
      <c r="BP118" s="9517"/>
      <c r="BQ118" s="9517"/>
      <c r="BR118" s="9517"/>
      <c r="BS118" s="9517"/>
      <c r="BT118" s="9517"/>
      <c r="BU118" s="9518"/>
      <c r="BV118" s="9514"/>
      <c r="BW118" s="9518"/>
      <c r="BX118" s="9514"/>
      <c r="BY118" s="9517"/>
      <c r="BZ118" s="9517"/>
      <c r="CA118" s="9517"/>
      <c r="CB118" s="9517"/>
      <c r="CC118" s="9517"/>
      <c r="CD118" s="9517"/>
      <c r="CE118" s="9517"/>
      <c r="CF118" s="9518"/>
      <c r="CG118" s="9514"/>
      <c r="CH118" s="9518"/>
      <c r="CI118" s="9514"/>
      <c r="CJ118" s="9517"/>
      <c r="CK118" s="9517"/>
      <c r="CL118" s="9517"/>
      <c r="CM118" s="9517"/>
      <c r="CN118" s="9517"/>
      <c r="CO118" s="9517"/>
      <c r="CP118" s="9517"/>
      <c r="CQ118" s="9518"/>
      <c r="CR118" s="9514"/>
      <c r="CS118" s="9518"/>
      <c r="CT118" s="10087"/>
      <c r="CU118" s="9517"/>
      <c r="CV118" s="9517"/>
      <c r="CW118" s="9517"/>
      <c r="CX118" s="9517"/>
      <c r="CY118" s="9517"/>
      <c r="CZ118" s="9517"/>
      <c r="DA118" s="9517"/>
      <c r="DB118" s="9518"/>
      <c r="DC118" s="9514"/>
      <c r="DD118" s="9518"/>
      <c r="DE118" s="9514"/>
      <c r="DF118" s="9517"/>
      <c r="DG118" s="9517"/>
      <c r="DH118" s="9517"/>
      <c r="DI118" s="9517"/>
      <c r="DJ118" s="9517"/>
      <c r="DK118" s="9517"/>
      <c r="DL118" s="9517"/>
      <c r="DM118" s="9518"/>
      <c r="DN118" s="9514"/>
      <c r="DO118" s="9518"/>
      <c r="DP118" s="9514"/>
      <c r="DQ118" s="10092"/>
      <c r="DR118" s="10089"/>
      <c r="DS118" s="9769"/>
      <c r="DT118" s="10065"/>
      <c r="DU118" s="10065" t="str">
        <f>IF(T118="","",T118)</f>
        <v/>
      </c>
      <c r="DV118" s="10065"/>
      <c r="DW118" s="10065"/>
    </row>
    <row s="19448" customFormat="1" customHeight="1" ht="21">
      <c r="A119" s="10052"/>
      <c r="B119" s="10052"/>
      <c r="C119" s="10052"/>
      <c r="D119" s="10052"/>
      <c r="E119" s="10053"/>
      <c r="F119" s="10053" t="s">
        <v>89</v>
      </c>
      <c r="G119" s="10053"/>
      <c r="H119" s="10053"/>
      <c r="I119" s="10080"/>
      <c r="J119" s="10070"/>
      <c r="K119" s="10052"/>
      <c r="L119" s="10055"/>
      <c r="M119" s="10071"/>
      <c r="N119" s="10071"/>
      <c r="O119" s="10071"/>
      <c r="P119" s="10072"/>
      <c r="Q119" s="10072"/>
      <c r="R119" s="10073"/>
      <c r="S119" s="12031"/>
      <c r="T119" s="12032" t="s">
        <v>590</v>
      </c>
      <c r="U119" s="12033"/>
      <c r="V119" s="12034"/>
      <c r="W119" s="12035"/>
      <c r="X119" s="12036"/>
      <c r="Y119" s="12037"/>
      <c r="Z119" s="12038"/>
      <c r="AA119" s="12039"/>
      <c r="AB119" s="12040"/>
      <c r="AC119" s="12041"/>
      <c r="AD119" s="12042"/>
      <c r="AE119" s="12043"/>
      <c r="AF119" s="12044"/>
      <c r="AG119" s="12045"/>
      <c r="AH119" s="12046"/>
      <c r="AI119" s="12047"/>
      <c r="AJ119" s="12048"/>
      <c r="AK119" s="12049"/>
      <c r="AL119" s="12050"/>
      <c r="AM119" s="12051"/>
      <c r="AN119" s="12052"/>
      <c r="AO119" s="12053"/>
      <c r="AP119" s="12054"/>
      <c r="AQ119" s="12055"/>
      <c r="AR119" s="12056"/>
      <c r="AS119" s="12057"/>
      <c r="AT119" s="12058"/>
      <c r="AU119" s="12059"/>
      <c r="AV119" s="12060"/>
      <c r="AW119" s="12061"/>
      <c r="AX119" s="12062"/>
      <c r="AY119" s="12063"/>
      <c r="AZ119" s="12064"/>
      <c r="BA119" s="12065"/>
      <c r="BB119" s="12066"/>
      <c r="BC119" s="12067"/>
      <c r="BD119" s="12068"/>
      <c r="BE119" s="12069"/>
      <c r="BF119" s="12070"/>
      <c r="BG119" s="12071"/>
      <c r="BH119" s="12072"/>
      <c r="BI119" s="12073"/>
      <c r="BJ119" s="12074"/>
      <c r="BK119" s="12075"/>
      <c r="BL119" s="12076"/>
      <c r="BM119" s="12077"/>
      <c r="BN119" s="12078"/>
      <c r="BO119" s="12079"/>
      <c r="BP119" s="12080"/>
      <c r="BQ119" s="12081"/>
      <c r="BR119" s="12082"/>
      <c r="BS119" s="12083"/>
      <c r="BT119" s="12084"/>
      <c r="BU119" s="12085"/>
      <c r="BV119" s="12086"/>
      <c r="BW119" s="12087"/>
      <c r="BX119" s="12088"/>
      <c r="BY119" s="12089"/>
      <c r="BZ119" s="12090"/>
      <c r="CA119" s="12091"/>
      <c r="CB119" s="12092"/>
      <c r="CC119" s="12093"/>
      <c r="CD119" s="12094"/>
      <c r="CE119" s="12095"/>
      <c r="CF119" s="12096"/>
      <c r="CG119" s="12097"/>
      <c r="CH119" s="12098"/>
      <c r="CI119" s="12099"/>
      <c r="CJ119" s="12100"/>
      <c r="CK119" s="12101"/>
      <c r="CL119" s="12102"/>
      <c r="CM119" s="12103"/>
      <c r="CN119" s="12104"/>
      <c r="CO119" s="12105"/>
      <c r="CP119" s="12106"/>
      <c r="CQ119" s="12107"/>
      <c r="CR119" s="12108"/>
      <c r="CS119" s="12109"/>
      <c r="CT119" s="12110"/>
      <c r="CU119" s="12111"/>
      <c r="CV119" s="12112"/>
      <c r="CW119" s="12113"/>
      <c r="CX119" s="12114"/>
      <c r="CY119" s="12115"/>
      <c r="CZ119" s="12116"/>
      <c r="DA119" s="12117"/>
      <c r="DB119" s="12118"/>
      <c r="DC119" s="12119"/>
      <c r="DD119" s="12120"/>
      <c r="DE119" s="12121"/>
      <c r="DF119" s="12122"/>
      <c r="DG119" s="12123"/>
      <c r="DH119" s="12124"/>
      <c r="DI119" s="12125"/>
      <c r="DJ119" s="12126"/>
      <c r="DK119" s="12127"/>
      <c r="DL119" s="12128"/>
      <c r="DM119" s="12129"/>
      <c r="DN119" s="12130"/>
      <c r="DO119" s="12131"/>
      <c r="DP119" s="12132"/>
      <c r="DQ119" s="12133"/>
      <c r="DR119" s="10064" t="s">
        <v>591</v>
      </c>
      <c r="DS119" s="9769"/>
      <c r="DT119" s="10065"/>
      <c r="DU119" s="10065" t="str">
        <f>IF(T119="","",T119)</f>
        <v>Добавить значение признака дифференциации</v>
      </c>
      <c r="DV119" s="10065"/>
      <c r="DW119" s="10065"/>
    </row>
    <row s="19552" customFormat="1" customHeight="1" ht="21">
      <c r="A120" s="10052"/>
      <c r="B120" s="10052"/>
      <c r="C120" s="10052"/>
      <c r="D120" s="10052"/>
      <c r="E120" s="10053"/>
      <c r="F120" s="10053" t="s">
        <v>89</v>
      </c>
      <c r="G120" s="10053"/>
      <c r="H120" s="10053"/>
      <c r="I120" s="10070"/>
      <c r="J120" s="10052"/>
      <c r="K120" s="10052"/>
      <c r="L120" s="10055"/>
      <c r="M120" s="10071"/>
      <c r="N120" s="10071"/>
      <c r="O120" s="10071"/>
      <c r="P120" s="10072"/>
      <c r="Q120" s="10072"/>
      <c r="R120" s="10073"/>
      <c r="S120" s="12135"/>
      <c r="T120" s="12136" t="s">
        <v>518</v>
      </c>
      <c r="U120" s="12137"/>
      <c r="V120" s="12138"/>
      <c r="W120" s="12139"/>
      <c r="X120" s="12140"/>
      <c r="Y120" s="12141"/>
      <c r="Z120" s="12142"/>
      <c r="AA120" s="12143"/>
      <c r="AB120" s="12144"/>
      <c r="AC120" s="12145"/>
      <c r="AD120" s="12146"/>
      <c r="AE120" s="12147"/>
      <c r="AF120" s="12148"/>
      <c r="AG120" s="12149"/>
      <c r="AH120" s="12150"/>
      <c r="AI120" s="12151"/>
      <c r="AJ120" s="12152"/>
      <c r="AK120" s="12153"/>
      <c r="AL120" s="12154"/>
      <c r="AM120" s="12155"/>
      <c r="AN120" s="12156"/>
      <c r="AO120" s="12157"/>
      <c r="AP120" s="12158"/>
      <c r="AQ120" s="12159"/>
      <c r="AR120" s="12160"/>
      <c r="AS120" s="12161"/>
      <c r="AT120" s="12162"/>
      <c r="AU120" s="12163"/>
      <c r="AV120" s="12164"/>
      <c r="AW120" s="12165"/>
      <c r="AX120" s="12166"/>
      <c r="AY120" s="12167"/>
      <c r="AZ120" s="12168"/>
      <c r="BA120" s="12169"/>
      <c r="BB120" s="12170"/>
      <c r="BC120" s="12171"/>
      <c r="BD120" s="12172"/>
      <c r="BE120" s="12173"/>
      <c r="BF120" s="12174"/>
      <c r="BG120" s="12175"/>
      <c r="BH120" s="12176"/>
      <c r="BI120" s="12177"/>
      <c r="BJ120" s="12178"/>
      <c r="BK120" s="12179"/>
      <c r="BL120" s="12180"/>
      <c r="BM120" s="12181"/>
      <c r="BN120" s="12182"/>
      <c r="BO120" s="12183"/>
      <c r="BP120" s="12184"/>
      <c r="BQ120" s="12185"/>
      <c r="BR120" s="12186"/>
      <c r="BS120" s="12187"/>
      <c r="BT120" s="12188"/>
      <c r="BU120" s="12189"/>
      <c r="BV120" s="12190"/>
      <c r="BW120" s="12191"/>
      <c r="BX120" s="12192"/>
      <c r="BY120" s="12193"/>
      <c r="BZ120" s="12194"/>
      <c r="CA120" s="12195"/>
      <c r="CB120" s="12196"/>
      <c r="CC120" s="12197"/>
      <c r="CD120" s="12198"/>
      <c r="CE120" s="12199"/>
      <c r="CF120" s="12200"/>
      <c r="CG120" s="12201"/>
      <c r="CH120" s="12202"/>
      <c r="CI120" s="12203"/>
      <c r="CJ120" s="12204"/>
      <c r="CK120" s="12205"/>
      <c r="CL120" s="12206"/>
      <c r="CM120" s="12207"/>
      <c r="CN120" s="12208"/>
      <c r="CO120" s="12209"/>
      <c r="CP120" s="12210"/>
      <c r="CQ120" s="12211"/>
      <c r="CR120" s="12212"/>
      <c r="CS120" s="12213"/>
      <c r="CT120" s="12214"/>
      <c r="CU120" s="12215"/>
      <c r="CV120" s="12216"/>
      <c r="CW120" s="12217"/>
      <c r="CX120" s="12218"/>
      <c r="CY120" s="12219"/>
      <c r="CZ120" s="12220"/>
      <c r="DA120" s="12221"/>
      <c r="DB120" s="12222"/>
      <c r="DC120" s="12223"/>
      <c r="DD120" s="12224"/>
      <c r="DE120" s="12225"/>
      <c r="DF120" s="12226"/>
      <c r="DG120" s="12227"/>
      <c r="DH120" s="12228"/>
      <c r="DI120" s="12229"/>
      <c r="DJ120" s="12230"/>
      <c r="DK120" s="12231"/>
      <c r="DL120" s="12232"/>
      <c r="DM120" s="12233"/>
      <c r="DN120" s="12234"/>
      <c r="DO120" s="12235"/>
      <c r="DP120" s="12236"/>
      <c r="DQ120" s="12237"/>
      <c r="DR120" s="12238"/>
      <c r="DS120" s="9769"/>
      <c r="DT120" s="10065"/>
      <c r="DU120" s="10065" t="str">
        <f>IF(T120="","",T120)</f>
        <v>Добавить группу потребителей</v>
      </c>
      <c r="DV120" s="10065"/>
      <c r="DW120" s="10065"/>
    </row>
    <row s="19657" customFormat="1" customHeight="1" ht="21">
      <c r="A121" s="10052"/>
      <c r="B121" s="10052"/>
      <c r="C121" s="10052"/>
      <c r="D121" s="10052"/>
      <c r="E121" s="10053"/>
      <c r="F121" s="10053" t="s">
        <v>89</v>
      </c>
      <c r="G121" s="10053"/>
      <c r="H121" s="10054"/>
      <c r="I121" s="10052"/>
      <c r="J121" s="10052"/>
      <c r="K121" s="10052"/>
      <c r="L121" s="10055"/>
      <c r="M121" s="10056"/>
      <c r="N121" s="10056"/>
      <c r="O121" s="9754"/>
      <c r="P121" s="10303"/>
      <c r="Q121" s="10304"/>
      <c r="R121" s="10305"/>
      <c r="S121" s="12240"/>
      <c r="T121" s="12241" t="s">
        <v>592</v>
      </c>
      <c r="U121" s="12242"/>
      <c r="V121" s="12243"/>
      <c r="W121" s="12244"/>
      <c r="X121" s="12245"/>
      <c r="Y121" s="12246"/>
      <c r="Z121" s="12247"/>
      <c r="AA121" s="12248"/>
      <c r="AB121" s="12249"/>
      <c r="AC121" s="12250"/>
      <c r="AD121" s="12251"/>
      <c r="AE121" s="12252"/>
      <c r="AF121" s="12253"/>
      <c r="AG121" s="12254"/>
      <c r="AH121" s="12255"/>
      <c r="AI121" s="12256"/>
      <c r="AJ121" s="12257"/>
      <c r="AK121" s="12258"/>
      <c r="AL121" s="12259"/>
      <c r="AM121" s="12260"/>
      <c r="AN121" s="12261"/>
      <c r="AO121" s="12262"/>
      <c r="AP121" s="12263"/>
      <c r="AQ121" s="12264"/>
      <c r="AR121" s="12265"/>
      <c r="AS121" s="12266"/>
      <c r="AT121" s="12267"/>
      <c r="AU121" s="12268"/>
      <c r="AV121" s="12269"/>
      <c r="AW121" s="12270"/>
      <c r="AX121" s="12271"/>
      <c r="AY121" s="12272"/>
      <c r="AZ121" s="12273"/>
      <c r="BA121" s="12274"/>
      <c r="BB121" s="12275"/>
      <c r="BC121" s="12276"/>
      <c r="BD121" s="12277"/>
      <c r="BE121" s="12278"/>
      <c r="BF121" s="12279"/>
      <c r="BG121" s="12280"/>
      <c r="BH121" s="12281"/>
      <c r="BI121" s="12282"/>
      <c r="BJ121" s="12283"/>
      <c r="BK121" s="12284"/>
      <c r="BL121" s="12285"/>
      <c r="BM121" s="12286"/>
      <c r="BN121" s="12287"/>
      <c r="BO121" s="12288"/>
      <c r="BP121" s="12289"/>
      <c r="BQ121" s="12290"/>
      <c r="BR121" s="12291"/>
      <c r="BS121" s="12292"/>
      <c r="BT121" s="12293"/>
      <c r="BU121" s="12294"/>
      <c r="BV121" s="12295"/>
      <c r="BW121" s="12296"/>
      <c r="BX121" s="12297"/>
      <c r="BY121" s="12298"/>
      <c r="BZ121" s="12299"/>
      <c r="CA121" s="12300"/>
      <c r="CB121" s="12301"/>
      <c r="CC121" s="12302"/>
      <c r="CD121" s="12303"/>
      <c r="CE121" s="12304"/>
      <c r="CF121" s="12305"/>
      <c r="CG121" s="12306"/>
      <c r="CH121" s="12307"/>
      <c r="CI121" s="12308"/>
      <c r="CJ121" s="12309"/>
      <c r="CK121" s="12310"/>
      <c r="CL121" s="12311"/>
      <c r="CM121" s="12312"/>
      <c r="CN121" s="12313"/>
      <c r="CO121" s="12314"/>
      <c r="CP121" s="12315"/>
      <c r="CQ121" s="12316"/>
      <c r="CR121" s="12317"/>
      <c r="CS121" s="12318"/>
      <c r="CT121" s="12319"/>
      <c r="CU121" s="12320"/>
      <c r="CV121" s="12321"/>
      <c r="CW121" s="12322"/>
      <c r="CX121" s="12323"/>
      <c r="CY121" s="12324"/>
      <c r="CZ121" s="12325"/>
      <c r="DA121" s="12326"/>
      <c r="DB121" s="12327"/>
      <c r="DC121" s="12328"/>
      <c r="DD121" s="12329"/>
      <c r="DE121" s="12330"/>
      <c r="DF121" s="12331"/>
      <c r="DG121" s="12332"/>
      <c r="DH121" s="12333"/>
      <c r="DI121" s="12334"/>
      <c r="DJ121" s="12335"/>
      <c r="DK121" s="12336"/>
      <c r="DL121" s="12337"/>
      <c r="DM121" s="12338"/>
      <c r="DN121" s="12339"/>
      <c r="DO121" s="12340"/>
      <c r="DP121" s="12341"/>
      <c r="DQ121" s="12342"/>
      <c r="DR121" s="12343"/>
      <c r="DS121" s="9769"/>
      <c r="DT121" s="10065"/>
      <c r="DU121" s="10065" t="str">
        <f>IF(T121="","",T121)</f>
        <v>Добавить наименование признака дифференциации</v>
      </c>
      <c r="DV121" s="10065"/>
      <c r="DW121" s="10065"/>
    </row>
    <row s="19762" customFormat="1" customHeight="1" ht="14.25">
      <c r="A122" s="10411"/>
      <c r="B122" s="10411"/>
      <c r="C122" s="10411"/>
      <c r="D122" s="10411"/>
      <c r="E122" s="10053"/>
      <c r="F122" s="10054" t="s">
        <v>89</v>
      </c>
      <c r="G122" s="10411"/>
      <c r="H122" s="10411"/>
      <c r="I122" s="10411"/>
      <c r="J122" s="10411"/>
      <c r="K122" s="10411"/>
      <c r="L122" s="10412"/>
      <c r="M122" s="10413"/>
      <c r="N122" s="10413"/>
      <c r="O122" s="9769"/>
      <c r="P122" s="10414"/>
      <c r="Q122" s="10415"/>
      <c r="R122" s="10414"/>
      <c r="S122" s="10416"/>
      <c r="T122" s="10417" t="s">
        <v>305</v>
      </c>
      <c r="U122" s="9751"/>
      <c r="V122" s="9751"/>
      <c r="W122" s="9751"/>
      <c r="X122" s="9751"/>
      <c r="Y122" s="9751"/>
      <c r="Z122" s="9751"/>
      <c r="AA122" s="9751"/>
      <c r="AB122" s="9751"/>
      <c r="AC122" s="9751"/>
      <c r="AD122" s="9751"/>
      <c r="AE122" s="9751"/>
      <c r="AF122" s="9751"/>
      <c r="AG122" s="9751"/>
      <c r="AH122" s="9751"/>
      <c r="AI122" s="9751"/>
      <c r="AJ122" s="9751"/>
      <c r="AK122" s="9751"/>
      <c r="AL122" s="9751"/>
      <c r="AM122" s="9751"/>
      <c r="AN122" s="9751"/>
      <c r="AO122" s="9751"/>
      <c r="AP122" s="9751"/>
      <c r="AQ122" s="9751"/>
      <c r="AR122" s="9751"/>
      <c r="AS122" s="9751"/>
      <c r="AT122" s="9751"/>
      <c r="AU122" s="9751"/>
      <c r="AV122" s="9751"/>
      <c r="AW122" s="9751"/>
      <c r="AX122" s="9751"/>
      <c r="AY122" s="9751"/>
      <c r="AZ122" s="9751"/>
      <c r="BA122" s="9751"/>
      <c r="BB122" s="9751"/>
      <c r="BC122" s="9751"/>
      <c r="BD122" s="9751"/>
      <c r="BE122" s="9751"/>
      <c r="BF122" s="9751"/>
      <c r="BG122" s="9751"/>
      <c r="BH122" s="9751"/>
      <c r="BI122" s="9751"/>
      <c r="BJ122" s="9751"/>
      <c r="BK122" s="9751"/>
      <c r="BL122" s="9751"/>
      <c r="BM122" s="9751"/>
      <c r="BN122" s="9751"/>
      <c r="BO122" s="9751"/>
      <c r="BP122" s="9751"/>
      <c r="BQ122" s="9751"/>
      <c r="BR122" s="9751"/>
      <c r="BS122" s="9751"/>
      <c r="BT122" s="9751"/>
      <c r="BU122" s="9751"/>
      <c r="BV122" s="9751"/>
      <c r="BW122" s="9751"/>
      <c r="BX122" s="9751"/>
      <c r="BY122" s="9751"/>
      <c r="BZ122" s="9751"/>
      <c r="CA122" s="9751"/>
      <c r="CB122" s="9751"/>
      <c r="CC122" s="9751"/>
      <c r="CD122" s="9751"/>
      <c r="CE122" s="9751"/>
      <c r="CF122" s="9751"/>
      <c r="CG122" s="9751"/>
      <c r="CH122" s="9751"/>
      <c r="CI122" s="9751"/>
      <c r="CJ122" s="9751"/>
      <c r="CK122" s="9751"/>
      <c r="CL122" s="9751"/>
      <c r="CM122" s="9751"/>
      <c r="CN122" s="9751"/>
      <c r="CO122" s="9751"/>
      <c r="CP122" s="9751"/>
      <c r="CQ122" s="9751"/>
      <c r="CR122" s="9751"/>
      <c r="CS122" s="9751"/>
      <c r="CT122" s="10418"/>
      <c r="CU122" s="9751"/>
      <c r="CV122" s="9751"/>
      <c r="CW122" s="9751"/>
      <c r="CX122" s="9751"/>
      <c r="CY122" s="9751"/>
      <c r="CZ122" s="9751"/>
      <c r="DA122" s="9751"/>
      <c r="DB122" s="9751"/>
      <c r="DC122" s="9751"/>
      <c r="DD122" s="9751"/>
      <c r="DE122" s="9751"/>
      <c r="DF122" s="9751"/>
      <c r="DG122" s="9751"/>
      <c r="DH122" s="9751"/>
      <c r="DI122" s="9751"/>
      <c r="DJ122" s="9751"/>
      <c r="DK122" s="9751"/>
      <c r="DL122" s="9751"/>
      <c r="DM122" s="9751"/>
      <c r="DN122" s="9751"/>
      <c r="DO122" s="9751"/>
      <c r="DP122" s="9751"/>
      <c r="DQ122" s="9751"/>
      <c r="DR122" s="9751"/>
      <c r="DS122" s="9769"/>
      <c r="DT122" s="10065"/>
      <c r="DU122" s="10065" t="str">
        <f>IF(T122="","",T122)</f>
        <v>Добавить централизованную систему для дифференциации</v>
      </c>
      <c r="DV122" s="10065"/>
      <c r="DW122" s="10065"/>
    </row>
    <row s="19763" customFormat="1" customHeight="1" ht="23.25">
      <c r="A123" s="10052"/>
      <c r="B123" s="10052" t="s">
        <v>335</v>
      </c>
      <c r="C123" s="10052"/>
      <c r="D123" s="10052"/>
      <c r="E123" s="10053"/>
      <c r="F123" s="10054" t="s">
        <v>131</v>
      </c>
      <c r="G123" s="10052"/>
      <c r="H123" s="10052"/>
      <c r="I123" s="10052"/>
      <c r="J123" s="10052"/>
      <c r="K123" s="10052"/>
      <c r="L123" s="10055"/>
      <c r="M123" s="10056"/>
      <c r="N123" s="10056"/>
      <c r="O123" s="10056"/>
      <c r="P123" s="10057"/>
      <c r="Q123" s="10058"/>
      <c r="R123" s="10059"/>
      <c r="S123" s="10060" t="str">
        <f>INDEX(PT_DIFFERENTIATION_NUM_TER,MATCH(B123,PT_DIFFERENTIATION_TER_ID,0))</f>
        <v>1.9</v>
      </c>
      <c r="T123" s="10061" t="s">
        <v>503</v>
      </c>
      <c r="U123" s="10062"/>
      <c r="V123" s="9494"/>
      <c r="W123" s="9495"/>
      <c r="X123" s="9495"/>
      <c r="Y123" s="9495"/>
      <c r="Z123" s="9495"/>
      <c r="AA123" s="9495"/>
      <c r="AB123" s="9495"/>
      <c r="AC123" s="9495"/>
      <c r="AD123" s="9495"/>
      <c r="AE123" s="9495"/>
      <c r="AF123" s="9496"/>
      <c r="AG123" s="9494" t="str">
        <f>INDEX(PT_DIFFERENTIATION_TER,MATCH(B123,PT_DIFFERENTIATION_TER_ID,0))</f>
        <v>Территория 9</v>
      </c>
      <c r="AH123" s="9495"/>
      <c r="AI123" s="9495"/>
      <c r="AJ123" s="9495"/>
      <c r="AK123" s="9495"/>
      <c r="AL123" s="9495"/>
      <c r="AM123" s="9495"/>
      <c r="AN123" s="9495"/>
      <c r="AO123" s="9495"/>
      <c r="AP123" s="9495"/>
      <c r="AQ123" s="9495"/>
      <c r="AR123" s="9494"/>
      <c r="AS123" s="9495"/>
      <c r="AT123" s="9495"/>
      <c r="AU123" s="9495"/>
      <c r="AV123" s="9495"/>
      <c r="AW123" s="9495"/>
      <c r="AX123" s="9495"/>
      <c r="AY123" s="9495"/>
      <c r="AZ123" s="9495"/>
      <c r="BA123" s="9495"/>
      <c r="BB123" s="9496"/>
      <c r="BC123" s="9494"/>
      <c r="BD123" s="9495"/>
      <c r="BE123" s="9495"/>
      <c r="BF123" s="9495"/>
      <c r="BG123" s="9495"/>
      <c r="BH123" s="9495"/>
      <c r="BI123" s="9495"/>
      <c r="BJ123" s="9495"/>
      <c r="BK123" s="9495"/>
      <c r="BL123" s="9495"/>
      <c r="BM123" s="9496"/>
      <c r="BN123" s="9494"/>
      <c r="BO123" s="9495"/>
      <c r="BP123" s="9495"/>
      <c r="BQ123" s="9495"/>
      <c r="BR123" s="9495"/>
      <c r="BS123" s="9495"/>
      <c r="BT123" s="9495"/>
      <c r="BU123" s="9495"/>
      <c r="BV123" s="9495"/>
      <c r="BW123" s="9495"/>
      <c r="BX123" s="9496"/>
      <c r="BY123" s="9494"/>
      <c r="BZ123" s="9495"/>
      <c r="CA123" s="9495"/>
      <c r="CB123" s="9495"/>
      <c r="CC123" s="9495"/>
      <c r="CD123" s="9495"/>
      <c r="CE123" s="9495"/>
      <c r="CF123" s="9495"/>
      <c r="CG123" s="9495"/>
      <c r="CH123" s="9495"/>
      <c r="CI123" s="9496"/>
      <c r="CJ123" s="9494"/>
      <c r="CK123" s="9495"/>
      <c r="CL123" s="9495"/>
      <c r="CM123" s="9495"/>
      <c r="CN123" s="9495"/>
      <c r="CO123" s="9495"/>
      <c r="CP123" s="9495"/>
      <c r="CQ123" s="9495"/>
      <c r="CR123" s="9495"/>
      <c r="CS123" s="9495"/>
      <c r="CT123" s="10063"/>
      <c r="CU123" s="9494"/>
      <c r="CV123" s="9495"/>
      <c r="CW123" s="9495"/>
      <c r="CX123" s="9495"/>
      <c r="CY123" s="9495"/>
      <c r="CZ123" s="9495"/>
      <c r="DA123" s="9495"/>
      <c r="DB123" s="9495"/>
      <c r="DC123" s="9495"/>
      <c r="DD123" s="9495"/>
      <c r="DE123" s="9496"/>
      <c r="DF123" s="9494"/>
      <c r="DG123" s="9495"/>
      <c r="DH123" s="9495"/>
      <c r="DI123" s="9495"/>
      <c r="DJ123" s="9495"/>
      <c r="DK123" s="9495"/>
      <c r="DL123" s="9495"/>
      <c r="DM123" s="9495"/>
      <c r="DN123" s="9495"/>
      <c r="DO123" s="9495"/>
      <c r="DP123" s="9496"/>
      <c r="DQ123" s="9496"/>
      <c r="DR123" s="10064" t="s">
        <v>504</v>
      </c>
      <c r="DS123" s="9769"/>
      <c r="DT123" s="10065"/>
      <c r="DU123" s="10065" t="str">
        <f>IF(T123="","",T123)</f>
        <v>Территория действия тарифа</v>
      </c>
      <c r="DV123" s="10065"/>
      <c r="DW123" s="10065"/>
    </row>
    <row s="19764" customFormat="1" customHeight="1" ht="23.25">
      <c r="A124" s="10052"/>
      <c r="B124" s="10052"/>
      <c r="C124" s="10052" t="s">
        <v>336</v>
      </c>
      <c r="D124" s="10052"/>
      <c r="E124" s="10053"/>
      <c r="F124" s="10053" t="s">
        <v>126</v>
      </c>
      <c r="G124" s="10054">
        <v>1</v>
      </c>
      <c r="H124" s="10052"/>
      <c r="I124" s="10052"/>
      <c r="J124" s="10052"/>
      <c r="K124" s="10052"/>
      <c r="L124" s="10055"/>
      <c r="M124" s="10056"/>
      <c r="N124" s="10056"/>
      <c r="O124" s="10056"/>
      <c r="P124" s="10067"/>
      <c r="Q124" s="10058"/>
      <c r="R124" s="10059"/>
      <c r="S124" s="10060" t="str">
        <f>INDEX(PT_DIFFERENTIATION_NUM_CS,MATCH(C124,PT_DIFFERENTIATION_CS_ID,0))</f>
        <v>1.9.1</v>
      </c>
      <c r="T124" s="10068" t="s">
        <v>634</v>
      </c>
      <c r="U124" s="10062"/>
      <c r="V124" s="9494"/>
      <c r="W124" s="9495"/>
      <c r="X124" s="9495"/>
      <c r="Y124" s="9495"/>
      <c r="Z124" s="9495"/>
      <c r="AA124" s="9495"/>
      <c r="AB124" s="9495"/>
      <c r="AC124" s="9495"/>
      <c r="AD124" s="9495"/>
      <c r="AE124" s="9495"/>
      <c r="AF124" s="9496"/>
      <c r="AG124" s="9494" t="str">
        <f>INDEX(PT_DIFFERENTIATION_CS,MATCH(C124,PT_DIFFERENTIATION_CS_ID,0))</f>
        <v>г. Находка</v>
      </c>
      <c r="AH124" s="9495"/>
      <c r="AI124" s="9495"/>
      <c r="AJ124" s="9495"/>
      <c r="AK124" s="9495"/>
      <c r="AL124" s="9495"/>
      <c r="AM124" s="9495"/>
      <c r="AN124" s="9495"/>
      <c r="AO124" s="9495"/>
      <c r="AP124" s="9495"/>
      <c r="AQ124" s="9495"/>
      <c r="AR124" s="9494"/>
      <c r="AS124" s="9495"/>
      <c r="AT124" s="9495"/>
      <c r="AU124" s="9495"/>
      <c r="AV124" s="9495"/>
      <c r="AW124" s="9495"/>
      <c r="AX124" s="9495"/>
      <c r="AY124" s="9495"/>
      <c r="AZ124" s="9495"/>
      <c r="BA124" s="9495"/>
      <c r="BB124" s="9496"/>
      <c r="BC124" s="9494"/>
      <c r="BD124" s="9495"/>
      <c r="BE124" s="9495"/>
      <c r="BF124" s="9495"/>
      <c r="BG124" s="9495"/>
      <c r="BH124" s="9495"/>
      <c r="BI124" s="9495"/>
      <c r="BJ124" s="9495"/>
      <c r="BK124" s="9495"/>
      <c r="BL124" s="9495"/>
      <c r="BM124" s="9496"/>
      <c r="BN124" s="9494"/>
      <c r="BO124" s="9495"/>
      <c r="BP124" s="9495"/>
      <c r="BQ124" s="9495"/>
      <c r="BR124" s="9495"/>
      <c r="BS124" s="9495"/>
      <c r="BT124" s="9495"/>
      <c r="BU124" s="9495"/>
      <c r="BV124" s="9495"/>
      <c r="BW124" s="9495"/>
      <c r="BX124" s="9496"/>
      <c r="BY124" s="9494"/>
      <c r="BZ124" s="9495"/>
      <c r="CA124" s="9495"/>
      <c r="CB124" s="9495"/>
      <c r="CC124" s="9495"/>
      <c r="CD124" s="9495"/>
      <c r="CE124" s="9495"/>
      <c r="CF124" s="9495"/>
      <c r="CG124" s="9495"/>
      <c r="CH124" s="9495"/>
      <c r="CI124" s="9496"/>
      <c r="CJ124" s="9494"/>
      <c r="CK124" s="9495"/>
      <c r="CL124" s="9495"/>
      <c r="CM124" s="9495"/>
      <c r="CN124" s="9495"/>
      <c r="CO124" s="9495"/>
      <c r="CP124" s="9495"/>
      <c r="CQ124" s="9495"/>
      <c r="CR124" s="9495"/>
      <c r="CS124" s="9495"/>
      <c r="CT124" s="10063"/>
      <c r="CU124" s="9494"/>
      <c r="CV124" s="9495"/>
      <c r="CW124" s="9495"/>
      <c r="CX124" s="9495"/>
      <c r="CY124" s="9495"/>
      <c r="CZ124" s="9495"/>
      <c r="DA124" s="9495"/>
      <c r="DB124" s="9495"/>
      <c r="DC124" s="9495"/>
      <c r="DD124" s="9495"/>
      <c r="DE124" s="9496"/>
      <c r="DF124" s="9494"/>
      <c r="DG124" s="9495"/>
      <c r="DH124" s="9495"/>
      <c r="DI124" s="9495"/>
      <c r="DJ124" s="9495"/>
      <c r="DK124" s="9495"/>
      <c r="DL124" s="9495"/>
      <c r="DM124" s="9495"/>
      <c r="DN124" s="9495"/>
      <c r="DO124" s="9495"/>
      <c r="DP124" s="9496"/>
      <c r="DQ124" s="9496"/>
      <c r="DR124" s="10064" t="s">
        <v>635</v>
      </c>
      <c r="DS124" s="9769"/>
      <c r="DT124" s="10065"/>
      <c r="DU124" s="10065" t="str">
        <f>IF(T124="","",T124)</f>
        <v>Наименование централизованной системы горячего водоснабжения</v>
      </c>
      <c r="DV124" s="10065"/>
      <c r="DW124" s="10065"/>
    </row>
    <row s="19765" customFormat="1" customHeight="1" ht="23.25">
      <c r="A125" s="10052"/>
      <c r="B125" s="10052"/>
      <c r="C125" s="10052"/>
      <c r="D125" s="10052"/>
      <c r="E125" s="10053"/>
      <c r="F125" s="10053" t="s">
        <v>126</v>
      </c>
      <c r="G125" s="10053"/>
      <c r="H125" s="10053"/>
      <c r="I125" s="10070" t="str">
        <f>S124&amp;".1"</f>
        <v>1.9.1.1</v>
      </c>
      <c r="J125" s="10052"/>
      <c r="K125" s="10052"/>
      <c r="L125" s="10055"/>
      <c r="M125" s="10071"/>
      <c r="N125" s="10071"/>
      <c r="O125" s="10071"/>
      <c r="P125" s="10072">
        <v>1</v>
      </c>
      <c r="Q125" s="10072"/>
      <c r="R125" s="10073"/>
      <c r="S125" s="10060" t="str">
        <f>$I125</f>
        <v>1.9.1.1</v>
      </c>
      <c r="T125" s="10074" t="s">
        <v>587</v>
      </c>
      <c r="U125" s="10062"/>
      <c r="V125" s="9500"/>
      <c r="W125" s="9501"/>
      <c r="X125" s="9501"/>
      <c r="Y125" s="9501"/>
      <c r="Z125" s="9501"/>
      <c r="AA125" s="9501"/>
      <c r="AB125" s="9501"/>
      <c r="AC125" s="9501"/>
      <c r="AD125" s="9501"/>
      <c r="AE125" s="9501"/>
      <c r="AF125" s="9502"/>
      <c r="AG125" s="10075"/>
      <c r="AH125" s="10076"/>
      <c r="AI125" s="10076"/>
      <c r="AJ125" s="10076"/>
      <c r="AK125" s="10076"/>
      <c r="AL125" s="10076"/>
      <c r="AM125" s="10076"/>
      <c r="AN125" s="10076"/>
      <c r="AO125" s="10076"/>
      <c r="AP125" s="10076"/>
      <c r="AQ125" s="10076"/>
      <c r="AR125" s="9500"/>
      <c r="AS125" s="9501"/>
      <c r="AT125" s="9501"/>
      <c r="AU125" s="9501"/>
      <c r="AV125" s="9501"/>
      <c r="AW125" s="9501"/>
      <c r="AX125" s="9501"/>
      <c r="AY125" s="9501"/>
      <c r="AZ125" s="9501"/>
      <c r="BA125" s="9501"/>
      <c r="BB125" s="9502"/>
      <c r="BC125" s="9500"/>
      <c r="BD125" s="9501"/>
      <c r="BE125" s="9501"/>
      <c r="BF125" s="9501"/>
      <c r="BG125" s="9501"/>
      <c r="BH125" s="9501"/>
      <c r="BI125" s="9501"/>
      <c r="BJ125" s="9501"/>
      <c r="BK125" s="9501"/>
      <c r="BL125" s="9501"/>
      <c r="BM125" s="9502"/>
      <c r="BN125" s="9500"/>
      <c r="BO125" s="9501"/>
      <c r="BP125" s="9501"/>
      <c r="BQ125" s="9501"/>
      <c r="BR125" s="9501"/>
      <c r="BS125" s="9501"/>
      <c r="BT125" s="9501"/>
      <c r="BU125" s="9501"/>
      <c r="BV125" s="9501"/>
      <c r="BW125" s="9501"/>
      <c r="BX125" s="9502"/>
      <c r="BY125" s="9500"/>
      <c r="BZ125" s="9501"/>
      <c r="CA125" s="9501"/>
      <c r="CB125" s="9501"/>
      <c r="CC125" s="9501"/>
      <c r="CD125" s="9501"/>
      <c r="CE125" s="9501"/>
      <c r="CF125" s="9501"/>
      <c r="CG125" s="9501"/>
      <c r="CH125" s="9501"/>
      <c r="CI125" s="9502"/>
      <c r="CJ125" s="9500"/>
      <c r="CK125" s="9501"/>
      <c r="CL125" s="9501"/>
      <c r="CM125" s="9501"/>
      <c r="CN125" s="9501"/>
      <c r="CO125" s="9501"/>
      <c r="CP125" s="9501"/>
      <c r="CQ125" s="9501"/>
      <c r="CR125" s="9501"/>
      <c r="CS125" s="9501"/>
      <c r="CT125" s="10077"/>
      <c r="CU125" s="9500"/>
      <c r="CV125" s="9501"/>
      <c r="CW125" s="9501"/>
      <c r="CX125" s="9501"/>
      <c r="CY125" s="9501"/>
      <c r="CZ125" s="9501"/>
      <c r="DA125" s="9501"/>
      <c r="DB125" s="9501"/>
      <c r="DC125" s="9501"/>
      <c r="DD125" s="9501"/>
      <c r="DE125" s="9502"/>
      <c r="DF125" s="9500"/>
      <c r="DG125" s="9501"/>
      <c r="DH125" s="9501"/>
      <c r="DI125" s="9501"/>
      <c r="DJ125" s="9501"/>
      <c r="DK125" s="9501"/>
      <c r="DL125" s="9501"/>
      <c r="DM125" s="9501"/>
      <c r="DN125" s="9501"/>
      <c r="DO125" s="9501"/>
      <c r="DP125" s="9502"/>
      <c r="DQ125" s="10078"/>
      <c r="DR125" s="10064" t="s">
        <v>588</v>
      </c>
      <c r="DS125" s="9769"/>
      <c r="DT125" s="10065"/>
      <c r="DU125" s="10065" t="str">
        <f>IF(T125="","",T125)</f>
        <v>Наименование признака дифференциации</v>
      </c>
      <c r="DV125" s="10065"/>
      <c r="DW125" s="10065"/>
    </row>
    <row s="19766" customFormat="1" customHeight="1" ht="23.25">
      <c r="A126" s="10052"/>
      <c r="B126" s="10052"/>
      <c r="C126" s="10052"/>
      <c r="D126" s="10052"/>
      <c r="E126" s="10053"/>
      <c r="F126" s="10053" t="s">
        <v>126</v>
      </c>
      <c r="G126" s="10053"/>
      <c r="H126" s="10053"/>
      <c r="I126" s="10080"/>
      <c r="J126" s="10070" t="str">
        <f>I125&amp;".1"</f>
        <v>1.9.1.1.1</v>
      </c>
      <c r="K126" s="10052"/>
      <c r="L126" s="10055" t="s">
        <v>512</v>
      </c>
      <c r="M126" s="10071"/>
      <c r="N126" s="10071"/>
      <c r="O126" s="10071"/>
      <c r="P126" s="10072"/>
      <c r="Q126" s="10072">
        <v>1</v>
      </c>
      <c r="R126" s="10081"/>
      <c r="S126" s="10060" t="str">
        <f>$J126</f>
        <v>1.9.1.1.1</v>
      </c>
      <c r="T126" s="10082" t="s">
        <v>513</v>
      </c>
      <c r="U126" s="10062"/>
      <c r="V126" s="9506"/>
      <c r="W126" s="9507"/>
      <c r="X126" s="9507"/>
      <c r="Y126" s="9507"/>
      <c r="Z126" s="9507"/>
      <c r="AA126" s="9507"/>
      <c r="AB126" s="9507"/>
      <c r="AC126" s="9507"/>
      <c r="AD126" s="9507"/>
      <c r="AE126" s="9507"/>
      <c r="AF126" s="9508"/>
      <c r="AG126" s="9506" t="s">
        <v>647</v>
      </c>
      <c r="AH126" s="9507"/>
      <c r="AI126" s="9507"/>
      <c r="AJ126" s="9507"/>
      <c r="AK126" s="9507"/>
      <c r="AL126" s="9507"/>
      <c r="AM126" s="9507"/>
      <c r="AN126" s="9507"/>
      <c r="AO126" s="9507"/>
      <c r="AP126" s="9507"/>
      <c r="AQ126" s="9507"/>
      <c r="AR126" s="9506"/>
      <c r="AS126" s="9507"/>
      <c r="AT126" s="9507"/>
      <c r="AU126" s="9507"/>
      <c r="AV126" s="9507"/>
      <c r="AW126" s="9507"/>
      <c r="AX126" s="9507"/>
      <c r="AY126" s="9507"/>
      <c r="AZ126" s="9507"/>
      <c r="BA126" s="9507"/>
      <c r="BB126" s="9508"/>
      <c r="BC126" s="9506"/>
      <c r="BD126" s="9507"/>
      <c r="BE126" s="9507"/>
      <c r="BF126" s="9507"/>
      <c r="BG126" s="9507"/>
      <c r="BH126" s="9507"/>
      <c r="BI126" s="9507"/>
      <c r="BJ126" s="9507"/>
      <c r="BK126" s="9507"/>
      <c r="BL126" s="9507"/>
      <c r="BM126" s="9508"/>
      <c r="BN126" s="9506"/>
      <c r="BO126" s="9507"/>
      <c r="BP126" s="9507"/>
      <c r="BQ126" s="9507"/>
      <c r="BR126" s="9507"/>
      <c r="BS126" s="9507"/>
      <c r="BT126" s="9507"/>
      <c r="BU126" s="9507"/>
      <c r="BV126" s="9507"/>
      <c r="BW126" s="9507"/>
      <c r="BX126" s="9508"/>
      <c r="BY126" s="9506"/>
      <c r="BZ126" s="9507"/>
      <c r="CA126" s="9507"/>
      <c r="CB126" s="9507"/>
      <c r="CC126" s="9507"/>
      <c r="CD126" s="9507"/>
      <c r="CE126" s="9507"/>
      <c r="CF126" s="9507"/>
      <c r="CG126" s="9507"/>
      <c r="CH126" s="9507"/>
      <c r="CI126" s="9508"/>
      <c r="CJ126" s="9506"/>
      <c r="CK126" s="9507"/>
      <c r="CL126" s="9507"/>
      <c r="CM126" s="9507"/>
      <c r="CN126" s="9507"/>
      <c r="CO126" s="9507"/>
      <c r="CP126" s="9507"/>
      <c r="CQ126" s="9507"/>
      <c r="CR126" s="9507"/>
      <c r="CS126" s="9507"/>
      <c r="CT126" s="10083"/>
      <c r="CU126" s="9506"/>
      <c r="CV126" s="9507"/>
      <c r="CW126" s="9507"/>
      <c r="CX126" s="9507"/>
      <c r="CY126" s="9507"/>
      <c r="CZ126" s="9507"/>
      <c r="DA126" s="9507"/>
      <c r="DB126" s="9507"/>
      <c r="DC126" s="9507"/>
      <c r="DD126" s="9507"/>
      <c r="DE126" s="9508"/>
      <c r="DF126" s="9506"/>
      <c r="DG126" s="9507"/>
      <c r="DH126" s="9507"/>
      <c r="DI126" s="9507"/>
      <c r="DJ126" s="9507"/>
      <c r="DK126" s="9507"/>
      <c r="DL126" s="9507"/>
      <c r="DM126" s="9507"/>
      <c r="DN126" s="9507"/>
      <c r="DO126" s="9507"/>
      <c r="DP126" s="9508"/>
      <c r="DQ126" s="9508"/>
      <c r="DR126" s="10084" t="s">
        <v>589</v>
      </c>
      <c r="DS126" s="9769"/>
      <c r="DT126" s="10065"/>
      <c r="DU126" s="10065" t="str">
        <f>IF(T126="","",T126)</f>
        <v>Группа потребителей</v>
      </c>
      <c r="DV126" s="10065"/>
      <c r="DW126" s="10065"/>
    </row>
    <row s="19767" customFormat="1" customHeight="1" ht="23.25">
      <c r="A127" s="10052"/>
      <c r="B127" s="10052"/>
      <c r="C127" s="10052"/>
      <c r="D127" s="10052"/>
      <c r="E127" s="10053"/>
      <c r="F127" s="10053" t="s">
        <v>126</v>
      </c>
      <c r="G127" s="10053"/>
      <c r="H127" s="10053"/>
      <c r="I127" s="10080"/>
      <c r="J127" s="10080"/>
      <c r="K127" s="10070" t="str">
        <f>J126&amp;".1"</f>
        <v>1.9.1.1.1.1</v>
      </c>
      <c r="L127" s="10055"/>
      <c r="M127" s="10071"/>
      <c r="N127" s="10071"/>
      <c r="O127" s="10071"/>
      <c r="P127" s="10072"/>
      <c r="Q127" s="10072"/>
      <c r="R127" s="10081">
        <v>1</v>
      </c>
      <c r="S127" s="10060" t="str">
        <f>$K127</f>
        <v>1.9.1.1.1.1</v>
      </c>
      <c r="T127" s="10086"/>
      <c r="U127" s="10062"/>
      <c r="V127" s="9512"/>
      <c r="W127" s="9512"/>
      <c r="X127" s="9512"/>
      <c r="Y127" s="9512"/>
      <c r="Z127" s="9512"/>
      <c r="AA127" s="9512"/>
      <c r="AB127" s="9512"/>
      <c r="AC127" s="9513"/>
      <c r="AD127" s="9514" t="s">
        <v>63</v>
      </c>
      <c r="AE127" s="9513"/>
      <c r="AF127" s="9514" t="s">
        <v>63</v>
      </c>
      <c r="AG127" s="9512">
        <v>414.64</v>
      </c>
      <c r="AH127" s="9512"/>
      <c r="AI127" s="9512"/>
      <c r="AJ127" s="9512"/>
      <c r="AK127" s="9512"/>
      <c r="AL127" s="9512"/>
      <c r="AM127" s="9512"/>
      <c r="AN127" s="9513">
        <v>45658.61454861111</v>
      </c>
      <c r="AO127" s="9514" t="s">
        <v>63</v>
      </c>
      <c r="AP127" s="9817">
        <v>45838.614756944444</v>
      </c>
      <c r="AQ127" s="9514" t="s">
        <v>63</v>
      </c>
      <c r="AR127" s="9512">
        <v>599.4</v>
      </c>
      <c r="AS127" s="9512"/>
      <c r="AT127" s="9512"/>
      <c r="AU127" s="9512"/>
      <c r="AV127" s="9512"/>
      <c r="AW127" s="9512"/>
      <c r="AX127" s="9512"/>
      <c r="AY127" s="9513">
        <v>45839.614907407406</v>
      </c>
      <c r="AZ127" s="9514" t="s">
        <v>63</v>
      </c>
      <c r="BA127" s="9513">
        <v>46022.6150462963</v>
      </c>
      <c r="BB127" s="9514" t="s">
        <v>63</v>
      </c>
      <c r="BC127" s="9512">
        <v>599.4</v>
      </c>
      <c r="BD127" s="9512"/>
      <c r="BE127" s="9512"/>
      <c r="BF127" s="9512"/>
      <c r="BG127" s="9512"/>
      <c r="BH127" s="9512"/>
      <c r="BI127" s="9512"/>
      <c r="BJ127" s="9513">
        <v>46023.63475694445</v>
      </c>
      <c r="BK127" s="9514" t="s">
        <v>63</v>
      </c>
      <c r="BL127" s="9513">
        <v>46203.634930555556</v>
      </c>
      <c r="BM127" s="9514" t="s">
        <v>63</v>
      </c>
      <c r="BN127" s="9512">
        <v>623.38</v>
      </c>
      <c r="BO127" s="9512"/>
      <c r="BP127" s="9512"/>
      <c r="BQ127" s="9512"/>
      <c r="BR127" s="9512"/>
      <c r="BS127" s="9512"/>
      <c r="BT127" s="9512"/>
      <c r="BU127" s="9513">
        <v>46204.635046296295</v>
      </c>
      <c r="BV127" s="9514" t="s">
        <v>63</v>
      </c>
      <c r="BW127" s="9513">
        <v>46387.635150462964</v>
      </c>
      <c r="BX127" s="9514" t="s">
        <v>63</v>
      </c>
      <c r="BY127" s="9512">
        <v>623.38</v>
      </c>
      <c r="BZ127" s="9512"/>
      <c r="CA127" s="9512"/>
      <c r="CB127" s="9512"/>
      <c r="CC127" s="9512"/>
      <c r="CD127" s="9512"/>
      <c r="CE127" s="9512"/>
      <c r="CF127" s="9513">
        <v>46388.64172453704</v>
      </c>
      <c r="CG127" s="9514" t="s">
        <v>63</v>
      </c>
      <c r="CH127" s="9513">
        <v>46568.64188657407</v>
      </c>
      <c r="CI127" s="9514" t="s">
        <v>63</v>
      </c>
      <c r="CJ127" s="9512">
        <v>648.32</v>
      </c>
      <c r="CK127" s="9512"/>
      <c r="CL127" s="9512"/>
      <c r="CM127" s="9512"/>
      <c r="CN127" s="9512"/>
      <c r="CO127" s="9512"/>
      <c r="CP127" s="9512"/>
      <c r="CQ127" s="9513">
        <v>46569.64466435185</v>
      </c>
      <c r="CR127" s="9514" t="s">
        <v>63</v>
      </c>
      <c r="CS127" s="9513">
        <v>46752.64482638889</v>
      </c>
      <c r="CT127" s="10087" t="s">
        <v>63</v>
      </c>
      <c r="CU127" s="9512">
        <v>648.32</v>
      </c>
      <c r="CV127" s="9512"/>
      <c r="CW127" s="9512"/>
      <c r="CX127" s="9512"/>
      <c r="CY127" s="9512"/>
      <c r="CZ127" s="9512"/>
      <c r="DA127" s="9512"/>
      <c r="DB127" s="9513">
        <v>46753.6484837963</v>
      </c>
      <c r="DC127" s="9514" t="s">
        <v>63</v>
      </c>
      <c r="DD127" s="9513">
        <v>46934.648564814815</v>
      </c>
      <c r="DE127" s="9514" t="s">
        <v>63</v>
      </c>
      <c r="DF127" s="9512">
        <v>674.25</v>
      </c>
      <c r="DG127" s="9512"/>
      <c r="DH127" s="9512"/>
      <c r="DI127" s="9512"/>
      <c r="DJ127" s="9512"/>
      <c r="DK127" s="9512"/>
      <c r="DL127" s="9512"/>
      <c r="DM127" s="9513">
        <v>46935.66207175926</v>
      </c>
      <c r="DN127" s="9514" t="s">
        <v>63</v>
      </c>
      <c r="DO127" s="9513">
        <v>47118.6621875</v>
      </c>
      <c r="DP127" s="9514" t="s">
        <v>63</v>
      </c>
      <c r="DQ127" s="10088"/>
      <c r="DR127" s="100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S127" s="9769">
        <f>STRCHECKDATE(V128:DQ128)</f>
      </c>
      <c r="DT127" s="10065"/>
      <c r="DU127" s="10065" t="str">
        <f>IF(T127="","",T127)</f>
        <v/>
      </c>
      <c r="DV127" s="10065"/>
      <c r="DW127" s="10065"/>
    </row>
    <row s="19768" customFormat="1" customHeight="1" ht="14.25">
      <c r="A128" s="10052"/>
      <c r="B128" s="10052"/>
      <c r="C128" s="10052"/>
      <c r="D128" s="10052"/>
      <c r="E128" s="10053"/>
      <c r="F128" s="10053" t="s">
        <v>126</v>
      </c>
      <c r="G128" s="10053"/>
      <c r="H128" s="10053"/>
      <c r="I128" s="10080"/>
      <c r="J128" s="10080"/>
      <c r="K128" s="10070"/>
      <c r="L128" s="10055"/>
      <c r="M128" s="10071"/>
      <c r="N128" s="10071"/>
      <c r="O128" s="10071"/>
      <c r="P128" s="10072"/>
      <c r="Q128" s="10072"/>
      <c r="R128" s="10081"/>
      <c r="S128" s="10091"/>
      <c r="T128" s="10062"/>
      <c r="U128" s="10062"/>
      <c r="V128" s="9517"/>
      <c r="W128" s="9517"/>
      <c r="X128" s="9517"/>
      <c r="Y128" s="9517"/>
      <c r="Z128" s="9517"/>
      <c r="AA128" s="9517"/>
      <c r="AB128" s="9517"/>
      <c r="AC128" s="9518"/>
      <c r="AD128" s="9514"/>
      <c r="AE128" s="9518"/>
      <c r="AF128" s="9514"/>
      <c r="AG128" s="9517"/>
      <c r="AH128" s="9517"/>
      <c r="AI128" s="9517"/>
      <c r="AJ128" s="9517"/>
      <c r="AK128" s="9517"/>
      <c r="AL128" s="9517"/>
      <c r="AM128" s="9517"/>
      <c r="AN128" s="9518"/>
      <c r="AO128" s="9514"/>
      <c r="AP128" s="9819"/>
      <c r="AQ128" s="9514"/>
      <c r="AR128" s="9517"/>
      <c r="AS128" s="9517"/>
      <c r="AT128" s="9517"/>
      <c r="AU128" s="9517"/>
      <c r="AV128" s="9517"/>
      <c r="AW128" s="9517"/>
      <c r="AX128" s="9517"/>
      <c r="AY128" s="9518"/>
      <c r="AZ128" s="9514"/>
      <c r="BA128" s="9518"/>
      <c r="BB128" s="9514"/>
      <c r="BC128" s="9517"/>
      <c r="BD128" s="9517"/>
      <c r="BE128" s="9517"/>
      <c r="BF128" s="9517"/>
      <c r="BG128" s="9517"/>
      <c r="BH128" s="9517"/>
      <c r="BI128" s="9517"/>
      <c r="BJ128" s="9518"/>
      <c r="BK128" s="9514"/>
      <c r="BL128" s="9518"/>
      <c r="BM128" s="9514"/>
      <c r="BN128" s="9517"/>
      <c r="BO128" s="9517"/>
      <c r="BP128" s="9517"/>
      <c r="BQ128" s="9517"/>
      <c r="BR128" s="9517"/>
      <c r="BS128" s="9517"/>
      <c r="BT128" s="9517"/>
      <c r="BU128" s="9518"/>
      <c r="BV128" s="9514"/>
      <c r="BW128" s="9518"/>
      <c r="BX128" s="9514"/>
      <c r="BY128" s="9517"/>
      <c r="BZ128" s="9517"/>
      <c r="CA128" s="9517"/>
      <c r="CB128" s="9517"/>
      <c r="CC128" s="9517"/>
      <c r="CD128" s="9517"/>
      <c r="CE128" s="9517"/>
      <c r="CF128" s="9518"/>
      <c r="CG128" s="9514"/>
      <c r="CH128" s="9518"/>
      <c r="CI128" s="9514"/>
      <c r="CJ128" s="9517"/>
      <c r="CK128" s="9517"/>
      <c r="CL128" s="9517"/>
      <c r="CM128" s="9517"/>
      <c r="CN128" s="9517"/>
      <c r="CO128" s="9517"/>
      <c r="CP128" s="9517"/>
      <c r="CQ128" s="9518"/>
      <c r="CR128" s="9514"/>
      <c r="CS128" s="9518"/>
      <c r="CT128" s="10087"/>
      <c r="CU128" s="9517"/>
      <c r="CV128" s="9517"/>
      <c r="CW128" s="9517"/>
      <c r="CX128" s="9517"/>
      <c r="CY128" s="9517"/>
      <c r="CZ128" s="9517"/>
      <c r="DA128" s="9517"/>
      <c r="DB128" s="9518"/>
      <c r="DC128" s="9514"/>
      <c r="DD128" s="9518"/>
      <c r="DE128" s="9514"/>
      <c r="DF128" s="9517"/>
      <c r="DG128" s="9517"/>
      <c r="DH128" s="9517"/>
      <c r="DI128" s="9517"/>
      <c r="DJ128" s="9517"/>
      <c r="DK128" s="9517"/>
      <c r="DL128" s="9517"/>
      <c r="DM128" s="9518"/>
      <c r="DN128" s="9514"/>
      <c r="DO128" s="9518"/>
      <c r="DP128" s="9514"/>
      <c r="DQ128" s="10092"/>
      <c r="DR128" s="10089"/>
      <c r="DS128" s="9769"/>
      <c r="DT128" s="10065"/>
      <c r="DU128" s="10065" t="str">
        <f>IF(T128="","",T128)</f>
        <v/>
      </c>
      <c r="DV128" s="10065"/>
      <c r="DW128" s="10065"/>
    </row>
    <row s="19769" customFormat="1" customHeight="1" ht="21">
      <c r="A129" s="10052"/>
      <c r="B129" s="10052"/>
      <c r="C129" s="10052"/>
      <c r="D129" s="10052"/>
      <c r="E129" s="10053"/>
      <c r="F129" s="10053" t="s">
        <v>126</v>
      </c>
      <c r="G129" s="10053"/>
      <c r="H129" s="10053"/>
      <c r="I129" s="10080"/>
      <c r="J129" s="10070"/>
      <c r="K129" s="10052"/>
      <c r="L129" s="10055"/>
      <c r="M129" s="10071"/>
      <c r="N129" s="10071"/>
      <c r="O129" s="10071"/>
      <c r="P129" s="10072"/>
      <c r="Q129" s="10072"/>
      <c r="R129" s="10073"/>
      <c r="S129" s="12352"/>
      <c r="T129" s="12353" t="s">
        <v>590</v>
      </c>
      <c r="U129" s="12354"/>
      <c r="V129" s="12355"/>
      <c r="W129" s="12356"/>
      <c r="X129" s="12357"/>
      <c r="Y129" s="12358"/>
      <c r="Z129" s="12359"/>
      <c r="AA129" s="12360"/>
      <c r="AB129" s="12361"/>
      <c r="AC129" s="12362"/>
      <c r="AD129" s="12363"/>
      <c r="AE129" s="12364"/>
      <c r="AF129" s="12365"/>
      <c r="AG129" s="12366"/>
      <c r="AH129" s="12367"/>
      <c r="AI129" s="12368"/>
      <c r="AJ129" s="12369"/>
      <c r="AK129" s="12370"/>
      <c r="AL129" s="12371"/>
      <c r="AM129" s="12372"/>
      <c r="AN129" s="12373"/>
      <c r="AO129" s="12374"/>
      <c r="AP129" s="12375"/>
      <c r="AQ129" s="12376"/>
      <c r="AR129" s="12377"/>
      <c r="AS129" s="12378"/>
      <c r="AT129" s="12379"/>
      <c r="AU129" s="12380"/>
      <c r="AV129" s="12381"/>
      <c r="AW129" s="12382"/>
      <c r="AX129" s="12383"/>
      <c r="AY129" s="12384"/>
      <c r="AZ129" s="12385"/>
      <c r="BA129" s="12386"/>
      <c r="BB129" s="12387"/>
      <c r="BC129" s="12388"/>
      <c r="BD129" s="12389"/>
      <c r="BE129" s="12390"/>
      <c r="BF129" s="12391"/>
      <c r="BG129" s="12392"/>
      <c r="BH129" s="12393"/>
      <c r="BI129" s="12394"/>
      <c r="BJ129" s="12395"/>
      <c r="BK129" s="12396"/>
      <c r="BL129" s="12397"/>
      <c r="BM129" s="12398"/>
      <c r="BN129" s="12399"/>
      <c r="BO129" s="12400"/>
      <c r="BP129" s="12401"/>
      <c r="BQ129" s="12402"/>
      <c r="BR129" s="12403"/>
      <c r="BS129" s="12404"/>
      <c r="BT129" s="12405"/>
      <c r="BU129" s="12406"/>
      <c r="BV129" s="12407"/>
      <c r="BW129" s="12408"/>
      <c r="BX129" s="12409"/>
      <c r="BY129" s="12410"/>
      <c r="BZ129" s="12411"/>
      <c r="CA129" s="12412"/>
      <c r="CB129" s="12413"/>
      <c r="CC129" s="12414"/>
      <c r="CD129" s="12415"/>
      <c r="CE129" s="12416"/>
      <c r="CF129" s="12417"/>
      <c r="CG129" s="12418"/>
      <c r="CH129" s="12419"/>
      <c r="CI129" s="12420"/>
      <c r="CJ129" s="12421"/>
      <c r="CK129" s="12422"/>
      <c r="CL129" s="12423"/>
      <c r="CM129" s="12424"/>
      <c r="CN129" s="12425"/>
      <c r="CO129" s="12426"/>
      <c r="CP129" s="12427"/>
      <c r="CQ129" s="12428"/>
      <c r="CR129" s="12429"/>
      <c r="CS129" s="12430"/>
      <c r="CT129" s="12431"/>
      <c r="CU129" s="12432"/>
      <c r="CV129" s="12433"/>
      <c r="CW129" s="12434"/>
      <c r="CX129" s="12435"/>
      <c r="CY129" s="12436"/>
      <c r="CZ129" s="12437"/>
      <c r="DA129" s="12438"/>
      <c r="DB129" s="12439"/>
      <c r="DC129" s="12440"/>
      <c r="DD129" s="12441"/>
      <c r="DE129" s="12442"/>
      <c r="DF129" s="12443"/>
      <c r="DG129" s="12444"/>
      <c r="DH129" s="12445"/>
      <c r="DI129" s="12446"/>
      <c r="DJ129" s="12447"/>
      <c r="DK129" s="12448"/>
      <c r="DL129" s="12449"/>
      <c r="DM129" s="12450"/>
      <c r="DN129" s="12451"/>
      <c r="DO129" s="12452"/>
      <c r="DP129" s="12453"/>
      <c r="DQ129" s="12454"/>
      <c r="DR129" s="10064" t="s">
        <v>591</v>
      </c>
      <c r="DS129" s="9769"/>
      <c r="DT129" s="10065"/>
      <c r="DU129" s="10065" t="str">
        <f>IF(T129="","",T129)</f>
        <v>Добавить значение признака дифференциации</v>
      </c>
      <c r="DV129" s="10065"/>
      <c r="DW129" s="10065"/>
    </row>
    <row s="19873" customFormat="1" customHeight="1" ht="21">
      <c r="A130" s="10052"/>
      <c r="B130" s="10052"/>
      <c r="C130" s="10052"/>
      <c r="D130" s="10052"/>
      <c r="E130" s="10053"/>
      <c r="F130" s="10053" t="s">
        <v>126</v>
      </c>
      <c r="G130" s="10053"/>
      <c r="H130" s="10053"/>
      <c r="I130" s="10070"/>
      <c r="J130" s="10052"/>
      <c r="K130" s="10052"/>
      <c r="L130" s="10055"/>
      <c r="M130" s="10071"/>
      <c r="N130" s="10071"/>
      <c r="O130" s="10071"/>
      <c r="P130" s="10072"/>
      <c r="Q130" s="10072"/>
      <c r="R130" s="10073"/>
      <c r="S130" s="12456"/>
      <c r="T130" s="12457" t="s">
        <v>518</v>
      </c>
      <c r="U130" s="12458"/>
      <c r="V130" s="12459"/>
      <c r="W130" s="12460"/>
      <c r="X130" s="12461"/>
      <c r="Y130" s="12462"/>
      <c r="Z130" s="12463"/>
      <c r="AA130" s="12464"/>
      <c r="AB130" s="12465"/>
      <c r="AC130" s="12466"/>
      <c r="AD130" s="12467"/>
      <c r="AE130" s="12468"/>
      <c r="AF130" s="12469"/>
      <c r="AG130" s="12470"/>
      <c r="AH130" s="12471"/>
      <c r="AI130" s="12472"/>
      <c r="AJ130" s="12473"/>
      <c r="AK130" s="12474"/>
      <c r="AL130" s="12475"/>
      <c r="AM130" s="12476"/>
      <c r="AN130" s="12477"/>
      <c r="AO130" s="12478"/>
      <c r="AP130" s="12479"/>
      <c r="AQ130" s="12480"/>
      <c r="AR130" s="12481"/>
      <c r="AS130" s="12482"/>
      <c r="AT130" s="12483"/>
      <c r="AU130" s="12484"/>
      <c r="AV130" s="12485"/>
      <c r="AW130" s="12486"/>
      <c r="AX130" s="12487"/>
      <c r="AY130" s="12488"/>
      <c r="AZ130" s="12489"/>
      <c r="BA130" s="12490"/>
      <c r="BB130" s="12491"/>
      <c r="BC130" s="12492"/>
      <c r="BD130" s="12493"/>
      <c r="BE130" s="12494"/>
      <c r="BF130" s="12495"/>
      <c r="BG130" s="12496"/>
      <c r="BH130" s="12497"/>
      <c r="BI130" s="12498"/>
      <c r="BJ130" s="12499"/>
      <c r="BK130" s="12500"/>
      <c r="BL130" s="12501"/>
      <c r="BM130" s="12502"/>
      <c r="BN130" s="12503"/>
      <c r="BO130" s="12504"/>
      <c r="BP130" s="12505"/>
      <c r="BQ130" s="12506"/>
      <c r="BR130" s="12507"/>
      <c r="BS130" s="12508"/>
      <c r="BT130" s="12509"/>
      <c r="BU130" s="12510"/>
      <c r="BV130" s="12511"/>
      <c r="BW130" s="12512"/>
      <c r="BX130" s="12513"/>
      <c r="BY130" s="12514"/>
      <c r="BZ130" s="12515"/>
      <c r="CA130" s="12516"/>
      <c r="CB130" s="12517"/>
      <c r="CC130" s="12518"/>
      <c r="CD130" s="12519"/>
      <c r="CE130" s="12520"/>
      <c r="CF130" s="12521"/>
      <c r="CG130" s="12522"/>
      <c r="CH130" s="12523"/>
      <c r="CI130" s="12524"/>
      <c r="CJ130" s="12525"/>
      <c r="CK130" s="12526"/>
      <c r="CL130" s="12527"/>
      <c r="CM130" s="12528"/>
      <c r="CN130" s="12529"/>
      <c r="CO130" s="12530"/>
      <c r="CP130" s="12531"/>
      <c r="CQ130" s="12532"/>
      <c r="CR130" s="12533"/>
      <c r="CS130" s="12534"/>
      <c r="CT130" s="12535"/>
      <c r="CU130" s="12536"/>
      <c r="CV130" s="12537"/>
      <c r="CW130" s="12538"/>
      <c r="CX130" s="12539"/>
      <c r="CY130" s="12540"/>
      <c r="CZ130" s="12541"/>
      <c r="DA130" s="12542"/>
      <c r="DB130" s="12543"/>
      <c r="DC130" s="12544"/>
      <c r="DD130" s="12545"/>
      <c r="DE130" s="12546"/>
      <c r="DF130" s="12547"/>
      <c r="DG130" s="12548"/>
      <c r="DH130" s="12549"/>
      <c r="DI130" s="12550"/>
      <c r="DJ130" s="12551"/>
      <c r="DK130" s="12552"/>
      <c r="DL130" s="12553"/>
      <c r="DM130" s="12554"/>
      <c r="DN130" s="12555"/>
      <c r="DO130" s="12556"/>
      <c r="DP130" s="12557"/>
      <c r="DQ130" s="12558"/>
      <c r="DR130" s="12559"/>
      <c r="DS130" s="9769"/>
      <c r="DT130" s="10065"/>
      <c r="DU130" s="10065" t="str">
        <f>IF(T130="","",T130)</f>
        <v>Добавить группу потребителей</v>
      </c>
      <c r="DV130" s="10065"/>
      <c r="DW130" s="10065"/>
    </row>
    <row s="19978" customFormat="1" customHeight="1" ht="21">
      <c r="A131" s="10052"/>
      <c r="B131" s="10052"/>
      <c r="C131" s="10052"/>
      <c r="D131" s="10052"/>
      <c r="E131" s="10053"/>
      <c r="F131" s="10053" t="s">
        <v>126</v>
      </c>
      <c r="G131" s="10053"/>
      <c r="H131" s="10054"/>
      <c r="I131" s="10052"/>
      <c r="J131" s="10052"/>
      <c r="K131" s="10052"/>
      <c r="L131" s="10055"/>
      <c r="M131" s="10056"/>
      <c r="N131" s="10056"/>
      <c r="O131" s="9754"/>
      <c r="P131" s="10303"/>
      <c r="Q131" s="10304"/>
      <c r="R131" s="10305"/>
      <c r="S131" s="12561"/>
      <c r="T131" s="12562" t="s">
        <v>592</v>
      </c>
      <c r="U131" s="12563"/>
      <c r="V131" s="12564"/>
      <c r="W131" s="12565"/>
      <c r="X131" s="12566"/>
      <c r="Y131" s="12567"/>
      <c r="Z131" s="12568"/>
      <c r="AA131" s="12569"/>
      <c r="AB131" s="12570"/>
      <c r="AC131" s="12571"/>
      <c r="AD131" s="12572"/>
      <c r="AE131" s="12573"/>
      <c r="AF131" s="12574"/>
      <c r="AG131" s="12575"/>
      <c r="AH131" s="12576"/>
      <c r="AI131" s="12577"/>
      <c r="AJ131" s="12578"/>
      <c r="AK131" s="12579"/>
      <c r="AL131" s="12580"/>
      <c r="AM131" s="12581"/>
      <c r="AN131" s="12582"/>
      <c r="AO131" s="12583"/>
      <c r="AP131" s="12584"/>
      <c r="AQ131" s="12585"/>
      <c r="AR131" s="12586"/>
      <c r="AS131" s="12587"/>
      <c r="AT131" s="12588"/>
      <c r="AU131" s="12589"/>
      <c r="AV131" s="12590"/>
      <c r="AW131" s="12591"/>
      <c r="AX131" s="12592"/>
      <c r="AY131" s="12593"/>
      <c r="AZ131" s="12594"/>
      <c r="BA131" s="12595"/>
      <c r="BB131" s="12596"/>
      <c r="BC131" s="12597"/>
      <c r="BD131" s="12598"/>
      <c r="BE131" s="12599"/>
      <c r="BF131" s="12600"/>
      <c r="BG131" s="12601"/>
      <c r="BH131" s="12602"/>
      <c r="BI131" s="12603"/>
      <c r="BJ131" s="12604"/>
      <c r="BK131" s="12605"/>
      <c r="BL131" s="12606"/>
      <c r="BM131" s="12607"/>
      <c r="BN131" s="12608"/>
      <c r="BO131" s="12609"/>
      <c r="BP131" s="12610"/>
      <c r="BQ131" s="12611"/>
      <c r="BR131" s="12612"/>
      <c r="BS131" s="12613"/>
      <c r="BT131" s="12614"/>
      <c r="BU131" s="12615"/>
      <c r="BV131" s="12616"/>
      <c r="BW131" s="12617"/>
      <c r="BX131" s="12618"/>
      <c r="BY131" s="12619"/>
      <c r="BZ131" s="12620"/>
      <c r="CA131" s="12621"/>
      <c r="CB131" s="12622"/>
      <c r="CC131" s="12623"/>
      <c r="CD131" s="12624"/>
      <c r="CE131" s="12625"/>
      <c r="CF131" s="12626"/>
      <c r="CG131" s="12627"/>
      <c r="CH131" s="12628"/>
      <c r="CI131" s="12629"/>
      <c r="CJ131" s="12630"/>
      <c r="CK131" s="12631"/>
      <c r="CL131" s="12632"/>
      <c r="CM131" s="12633"/>
      <c r="CN131" s="12634"/>
      <c r="CO131" s="12635"/>
      <c r="CP131" s="12636"/>
      <c r="CQ131" s="12637"/>
      <c r="CR131" s="12638"/>
      <c r="CS131" s="12639"/>
      <c r="CT131" s="12640"/>
      <c r="CU131" s="12641"/>
      <c r="CV131" s="12642"/>
      <c r="CW131" s="12643"/>
      <c r="CX131" s="12644"/>
      <c r="CY131" s="12645"/>
      <c r="CZ131" s="12646"/>
      <c r="DA131" s="12647"/>
      <c r="DB131" s="12648"/>
      <c r="DC131" s="12649"/>
      <c r="DD131" s="12650"/>
      <c r="DE131" s="12651"/>
      <c r="DF131" s="12652"/>
      <c r="DG131" s="12653"/>
      <c r="DH131" s="12654"/>
      <c r="DI131" s="12655"/>
      <c r="DJ131" s="12656"/>
      <c r="DK131" s="12657"/>
      <c r="DL131" s="12658"/>
      <c r="DM131" s="12659"/>
      <c r="DN131" s="12660"/>
      <c r="DO131" s="12661"/>
      <c r="DP131" s="12662"/>
      <c r="DQ131" s="12663"/>
      <c r="DR131" s="12664"/>
      <c r="DS131" s="9769"/>
      <c r="DT131" s="10065"/>
      <c r="DU131" s="10065" t="str">
        <f>IF(T131="","",T131)</f>
        <v>Добавить наименование признака дифференциации</v>
      </c>
      <c r="DV131" s="10065"/>
      <c r="DW131" s="10065"/>
    </row>
    <row s="20083" customFormat="1" customHeight="1" ht="14.25">
      <c r="A132" s="10411"/>
      <c r="B132" s="10411"/>
      <c r="C132" s="10411"/>
      <c r="D132" s="10411"/>
      <c r="E132" s="10053"/>
      <c r="F132" s="10054" t="s">
        <v>126</v>
      </c>
      <c r="G132" s="10411"/>
      <c r="H132" s="10411"/>
      <c r="I132" s="10411"/>
      <c r="J132" s="10411"/>
      <c r="K132" s="10411"/>
      <c r="L132" s="10412"/>
      <c r="M132" s="10413"/>
      <c r="N132" s="10413"/>
      <c r="O132" s="9769"/>
      <c r="P132" s="10414"/>
      <c r="Q132" s="10415"/>
      <c r="R132" s="10414"/>
      <c r="S132" s="10416"/>
      <c r="T132" s="10417" t="s">
        <v>305</v>
      </c>
      <c r="U132" s="9751"/>
      <c r="V132" s="9751"/>
      <c r="W132" s="9751"/>
      <c r="X132" s="9751"/>
      <c r="Y132" s="9751"/>
      <c r="Z132" s="9751"/>
      <c r="AA132" s="9751"/>
      <c r="AB132" s="9751"/>
      <c r="AC132" s="9751"/>
      <c r="AD132" s="9751"/>
      <c r="AE132" s="9751"/>
      <c r="AF132" s="9751"/>
      <c r="AG132" s="9751"/>
      <c r="AH132" s="9751"/>
      <c r="AI132" s="9751"/>
      <c r="AJ132" s="9751"/>
      <c r="AK132" s="9751"/>
      <c r="AL132" s="9751"/>
      <c r="AM132" s="9751"/>
      <c r="AN132" s="9751"/>
      <c r="AO132" s="9751"/>
      <c r="AP132" s="9751"/>
      <c r="AQ132" s="9751"/>
      <c r="AR132" s="9751"/>
      <c r="AS132" s="9751"/>
      <c r="AT132" s="9751"/>
      <c r="AU132" s="9751"/>
      <c r="AV132" s="9751"/>
      <c r="AW132" s="9751"/>
      <c r="AX132" s="9751"/>
      <c r="AY132" s="9751"/>
      <c r="AZ132" s="9751"/>
      <c r="BA132" s="9751"/>
      <c r="BB132" s="9751"/>
      <c r="BC132" s="9751"/>
      <c r="BD132" s="9751"/>
      <c r="BE132" s="9751"/>
      <c r="BF132" s="9751"/>
      <c r="BG132" s="9751"/>
      <c r="BH132" s="9751"/>
      <c r="BI132" s="9751"/>
      <c r="BJ132" s="9751"/>
      <c r="BK132" s="9751"/>
      <c r="BL132" s="9751"/>
      <c r="BM132" s="9751"/>
      <c r="BN132" s="9751"/>
      <c r="BO132" s="9751"/>
      <c r="BP132" s="9751"/>
      <c r="BQ132" s="9751"/>
      <c r="BR132" s="9751"/>
      <c r="BS132" s="9751"/>
      <c r="BT132" s="9751"/>
      <c r="BU132" s="9751"/>
      <c r="BV132" s="9751"/>
      <c r="BW132" s="9751"/>
      <c r="BX132" s="9751"/>
      <c r="BY132" s="9751"/>
      <c r="BZ132" s="9751"/>
      <c r="CA132" s="9751"/>
      <c r="CB132" s="9751"/>
      <c r="CC132" s="9751"/>
      <c r="CD132" s="9751"/>
      <c r="CE132" s="9751"/>
      <c r="CF132" s="9751"/>
      <c r="CG132" s="9751"/>
      <c r="CH132" s="9751"/>
      <c r="CI132" s="9751"/>
      <c r="CJ132" s="9751"/>
      <c r="CK132" s="9751"/>
      <c r="CL132" s="9751"/>
      <c r="CM132" s="9751"/>
      <c r="CN132" s="9751"/>
      <c r="CO132" s="9751"/>
      <c r="CP132" s="9751"/>
      <c r="CQ132" s="9751"/>
      <c r="CR132" s="9751"/>
      <c r="CS132" s="9751"/>
      <c r="CT132" s="10418"/>
      <c r="CU132" s="9751"/>
      <c r="CV132" s="9751"/>
      <c r="CW132" s="9751"/>
      <c r="CX132" s="9751"/>
      <c r="CY132" s="9751"/>
      <c r="CZ132" s="9751"/>
      <c r="DA132" s="9751"/>
      <c r="DB132" s="9751"/>
      <c r="DC132" s="9751"/>
      <c r="DD132" s="9751"/>
      <c r="DE132" s="9751"/>
      <c r="DF132" s="9751"/>
      <c r="DG132" s="9751"/>
      <c r="DH132" s="9751"/>
      <c r="DI132" s="9751"/>
      <c r="DJ132" s="9751"/>
      <c r="DK132" s="9751"/>
      <c r="DL132" s="9751"/>
      <c r="DM132" s="9751"/>
      <c r="DN132" s="9751"/>
      <c r="DO132" s="9751"/>
      <c r="DP132" s="9751"/>
      <c r="DQ132" s="9751"/>
      <c r="DR132" s="9751"/>
      <c r="DS132" s="9769"/>
      <c r="DT132" s="10065"/>
      <c r="DU132" s="10065" t="str">
        <f>IF(T132="","",T132)</f>
        <v>Добавить централизованную систему для дифференциации</v>
      </c>
      <c r="DV132" s="10065"/>
      <c r="DW132" s="10065"/>
    </row>
    <row s="20084" customFormat="1" customHeight="1" ht="23.25">
      <c r="A133" s="10052"/>
      <c r="B133" s="10052" t="s">
        <v>339</v>
      </c>
      <c r="C133" s="10052"/>
      <c r="D133" s="10052"/>
      <c r="E133" s="10053"/>
      <c r="F133" s="10054" t="s">
        <v>136</v>
      </c>
      <c r="G133" s="10052"/>
      <c r="H133" s="10052"/>
      <c r="I133" s="10052"/>
      <c r="J133" s="10052"/>
      <c r="K133" s="10052"/>
      <c r="L133" s="10055"/>
      <c r="M133" s="10056"/>
      <c r="N133" s="10056"/>
      <c r="O133" s="10056"/>
      <c r="P133" s="10057"/>
      <c r="Q133" s="10058"/>
      <c r="R133" s="10059"/>
      <c r="S133" s="10060" t="str">
        <f>INDEX(PT_DIFFERENTIATION_NUM_TER,MATCH(B133,PT_DIFFERENTIATION_TER_ID,0))</f>
        <v>1.10</v>
      </c>
      <c r="T133" s="10061" t="s">
        <v>503</v>
      </c>
      <c r="U133" s="10062"/>
      <c r="V133" s="9494"/>
      <c r="W133" s="9495"/>
      <c r="X133" s="9495"/>
      <c r="Y133" s="9495"/>
      <c r="Z133" s="9495"/>
      <c r="AA133" s="9495"/>
      <c r="AB133" s="9495"/>
      <c r="AC133" s="9495"/>
      <c r="AD133" s="9495"/>
      <c r="AE133" s="9495"/>
      <c r="AF133" s="9496"/>
      <c r="AG133" s="9494" t="str">
        <f>INDEX(PT_DIFFERENTIATION_TER,MATCH(B133,PT_DIFFERENTIATION_TER_ID,0))</f>
        <v>Территория 10</v>
      </c>
      <c r="AH133" s="9495"/>
      <c r="AI133" s="9495"/>
      <c r="AJ133" s="9495"/>
      <c r="AK133" s="9495"/>
      <c r="AL133" s="9495"/>
      <c r="AM133" s="9495"/>
      <c r="AN133" s="9495"/>
      <c r="AO133" s="9495"/>
      <c r="AP133" s="9495"/>
      <c r="AQ133" s="9495"/>
      <c r="AR133" s="9494"/>
      <c r="AS133" s="9495"/>
      <c r="AT133" s="9495"/>
      <c r="AU133" s="9495"/>
      <c r="AV133" s="9495"/>
      <c r="AW133" s="9495"/>
      <c r="AX133" s="9495"/>
      <c r="AY133" s="9495"/>
      <c r="AZ133" s="9495"/>
      <c r="BA133" s="9495"/>
      <c r="BB133" s="9496"/>
      <c r="BC133" s="9494"/>
      <c r="BD133" s="9495"/>
      <c r="BE133" s="9495"/>
      <c r="BF133" s="9495"/>
      <c r="BG133" s="9495"/>
      <c r="BH133" s="9495"/>
      <c r="BI133" s="9495"/>
      <c r="BJ133" s="9495"/>
      <c r="BK133" s="9495"/>
      <c r="BL133" s="9495"/>
      <c r="BM133" s="9496"/>
      <c r="BN133" s="9494"/>
      <c r="BO133" s="9495"/>
      <c r="BP133" s="9495"/>
      <c r="BQ133" s="9495"/>
      <c r="BR133" s="9495"/>
      <c r="BS133" s="9495"/>
      <c r="BT133" s="9495"/>
      <c r="BU133" s="9495"/>
      <c r="BV133" s="9495"/>
      <c r="BW133" s="9495"/>
      <c r="BX133" s="9496"/>
      <c r="BY133" s="9494"/>
      <c r="BZ133" s="9495"/>
      <c r="CA133" s="9495"/>
      <c r="CB133" s="9495"/>
      <c r="CC133" s="9495"/>
      <c r="CD133" s="9495"/>
      <c r="CE133" s="9495"/>
      <c r="CF133" s="9495"/>
      <c r="CG133" s="9495"/>
      <c r="CH133" s="9495"/>
      <c r="CI133" s="9496"/>
      <c r="CJ133" s="9494"/>
      <c r="CK133" s="9495"/>
      <c r="CL133" s="9495"/>
      <c r="CM133" s="9495"/>
      <c r="CN133" s="9495"/>
      <c r="CO133" s="9495"/>
      <c r="CP133" s="9495"/>
      <c r="CQ133" s="9495"/>
      <c r="CR133" s="9495"/>
      <c r="CS133" s="9495"/>
      <c r="CT133" s="10063"/>
      <c r="CU133" s="9494"/>
      <c r="CV133" s="9495"/>
      <c r="CW133" s="9495"/>
      <c r="CX133" s="9495"/>
      <c r="CY133" s="9495"/>
      <c r="CZ133" s="9495"/>
      <c r="DA133" s="9495"/>
      <c r="DB133" s="9495"/>
      <c r="DC133" s="9495"/>
      <c r="DD133" s="9495"/>
      <c r="DE133" s="9496"/>
      <c r="DF133" s="9494"/>
      <c r="DG133" s="9495"/>
      <c r="DH133" s="9495"/>
      <c r="DI133" s="9495"/>
      <c r="DJ133" s="9495"/>
      <c r="DK133" s="9495"/>
      <c r="DL133" s="9495"/>
      <c r="DM133" s="9495"/>
      <c r="DN133" s="9495"/>
      <c r="DO133" s="9495"/>
      <c r="DP133" s="9496"/>
      <c r="DQ133" s="9496"/>
      <c r="DR133" s="10064" t="s">
        <v>504</v>
      </c>
      <c r="DS133" s="9769"/>
      <c r="DT133" s="10065"/>
      <c r="DU133" s="10065" t="str">
        <f>IF(T133="","",T133)</f>
        <v>Территория действия тарифа</v>
      </c>
      <c r="DV133" s="10065"/>
      <c r="DW133" s="10065"/>
    </row>
    <row s="20085" customFormat="1" customHeight="1" ht="23.25">
      <c r="A134" s="10052"/>
      <c r="B134" s="10052"/>
      <c r="C134" s="10052" t="s">
        <v>340</v>
      </c>
      <c r="D134" s="10052"/>
      <c r="E134" s="10053"/>
      <c r="F134" s="10053" t="s">
        <v>131</v>
      </c>
      <c r="G134" s="10054">
        <v>1</v>
      </c>
      <c r="H134" s="10052"/>
      <c r="I134" s="10052"/>
      <c r="J134" s="10052"/>
      <c r="K134" s="10052"/>
      <c r="L134" s="10055"/>
      <c r="M134" s="10056"/>
      <c r="N134" s="10056"/>
      <c r="O134" s="10056"/>
      <c r="P134" s="10067"/>
      <c r="Q134" s="10058"/>
      <c r="R134" s="10059"/>
      <c r="S134" s="10060" t="str">
        <f>INDEX(PT_DIFFERENTIATION_NUM_CS,MATCH(C134,PT_DIFFERENTIATION_CS_ID,0))</f>
        <v>1.10.1</v>
      </c>
      <c r="T134" s="10068" t="s">
        <v>634</v>
      </c>
      <c r="U134" s="10062"/>
      <c r="V134" s="9494"/>
      <c r="W134" s="9495"/>
      <c r="X134" s="9495"/>
      <c r="Y134" s="9495"/>
      <c r="Z134" s="9495"/>
      <c r="AA134" s="9495"/>
      <c r="AB134" s="9495"/>
      <c r="AC134" s="9495"/>
      <c r="AD134" s="9495"/>
      <c r="AE134" s="9495"/>
      <c r="AF134" s="9496"/>
      <c r="AG134" s="9494" t="str">
        <f>INDEX(PT_DIFFERENTIATION_CS,MATCH(C134,PT_DIFFERENTIATION_CS_ID,0))</f>
        <v>пгт. Преображение</v>
      </c>
      <c r="AH134" s="9495"/>
      <c r="AI134" s="9495"/>
      <c r="AJ134" s="9495"/>
      <c r="AK134" s="9495"/>
      <c r="AL134" s="9495"/>
      <c r="AM134" s="9495"/>
      <c r="AN134" s="9495"/>
      <c r="AO134" s="9495"/>
      <c r="AP134" s="9495"/>
      <c r="AQ134" s="9495"/>
      <c r="AR134" s="9494"/>
      <c r="AS134" s="9495"/>
      <c r="AT134" s="9495"/>
      <c r="AU134" s="9495"/>
      <c r="AV134" s="9495"/>
      <c r="AW134" s="9495"/>
      <c r="AX134" s="9495"/>
      <c r="AY134" s="9495"/>
      <c r="AZ134" s="9495"/>
      <c r="BA134" s="9495"/>
      <c r="BB134" s="9496"/>
      <c r="BC134" s="9494"/>
      <c r="BD134" s="9495"/>
      <c r="BE134" s="9495"/>
      <c r="BF134" s="9495"/>
      <c r="BG134" s="9495"/>
      <c r="BH134" s="9495"/>
      <c r="BI134" s="9495"/>
      <c r="BJ134" s="9495"/>
      <c r="BK134" s="9495"/>
      <c r="BL134" s="9495"/>
      <c r="BM134" s="9496"/>
      <c r="BN134" s="9494"/>
      <c r="BO134" s="9495"/>
      <c r="BP134" s="9495"/>
      <c r="BQ134" s="9495"/>
      <c r="BR134" s="9495"/>
      <c r="BS134" s="9495"/>
      <c r="BT134" s="9495"/>
      <c r="BU134" s="9495"/>
      <c r="BV134" s="9495"/>
      <c r="BW134" s="9495"/>
      <c r="BX134" s="9496"/>
      <c r="BY134" s="9494"/>
      <c r="BZ134" s="9495"/>
      <c r="CA134" s="9495"/>
      <c r="CB134" s="9495"/>
      <c r="CC134" s="9495"/>
      <c r="CD134" s="9495"/>
      <c r="CE134" s="9495"/>
      <c r="CF134" s="9495"/>
      <c r="CG134" s="9495"/>
      <c r="CH134" s="9495"/>
      <c r="CI134" s="9496"/>
      <c r="CJ134" s="9494"/>
      <c r="CK134" s="9495"/>
      <c r="CL134" s="9495"/>
      <c r="CM134" s="9495"/>
      <c r="CN134" s="9495"/>
      <c r="CO134" s="9495"/>
      <c r="CP134" s="9495"/>
      <c r="CQ134" s="9495"/>
      <c r="CR134" s="9495"/>
      <c r="CS134" s="9495"/>
      <c r="CT134" s="10063"/>
      <c r="CU134" s="9494"/>
      <c r="CV134" s="9495"/>
      <c r="CW134" s="9495"/>
      <c r="CX134" s="9495"/>
      <c r="CY134" s="9495"/>
      <c r="CZ134" s="9495"/>
      <c r="DA134" s="9495"/>
      <c r="DB134" s="9495"/>
      <c r="DC134" s="9495"/>
      <c r="DD134" s="9495"/>
      <c r="DE134" s="9496"/>
      <c r="DF134" s="9494"/>
      <c r="DG134" s="9495"/>
      <c r="DH134" s="9495"/>
      <c r="DI134" s="9495"/>
      <c r="DJ134" s="9495"/>
      <c r="DK134" s="9495"/>
      <c r="DL134" s="9495"/>
      <c r="DM134" s="9495"/>
      <c r="DN134" s="9495"/>
      <c r="DO134" s="9495"/>
      <c r="DP134" s="9496"/>
      <c r="DQ134" s="9496"/>
      <c r="DR134" s="10064" t="s">
        <v>635</v>
      </c>
      <c r="DS134" s="9769"/>
      <c r="DT134" s="10065"/>
      <c r="DU134" s="10065" t="str">
        <f>IF(T134="","",T134)</f>
        <v>Наименование централизованной системы горячего водоснабжения</v>
      </c>
      <c r="DV134" s="10065"/>
      <c r="DW134" s="10065"/>
    </row>
    <row s="20086" customFormat="1" customHeight="1" ht="23.25">
      <c r="A135" s="10052"/>
      <c r="B135" s="10052"/>
      <c r="C135" s="10052"/>
      <c r="D135" s="10052"/>
      <c r="E135" s="10053"/>
      <c r="F135" s="10053" t="s">
        <v>131</v>
      </c>
      <c r="G135" s="10053"/>
      <c r="H135" s="10053"/>
      <c r="I135" s="10070" t="str">
        <f>S134&amp;".1"</f>
        <v>1.10.1.1</v>
      </c>
      <c r="J135" s="10052"/>
      <c r="K135" s="10052"/>
      <c r="L135" s="10055"/>
      <c r="M135" s="10071"/>
      <c r="N135" s="10071"/>
      <c r="O135" s="10071"/>
      <c r="P135" s="10072">
        <v>1</v>
      </c>
      <c r="Q135" s="10072"/>
      <c r="R135" s="10073"/>
      <c r="S135" s="10060" t="str">
        <f>$I135</f>
        <v>1.10.1.1</v>
      </c>
      <c r="T135" s="10074" t="s">
        <v>587</v>
      </c>
      <c r="U135" s="10062"/>
      <c r="V135" s="9500"/>
      <c r="W135" s="9501"/>
      <c r="X135" s="9501"/>
      <c r="Y135" s="9501"/>
      <c r="Z135" s="9501"/>
      <c r="AA135" s="9501"/>
      <c r="AB135" s="9501"/>
      <c r="AC135" s="9501"/>
      <c r="AD135" s="9501"/>
      <c r="AE135" s="9501"/>
      <c r="AF135" s="9502"/>
      <c r="AG135" s="10075"/>
      <c r="AH135" s="10076"/>
      <c r="AI135" s="10076"/>
      <c r="AJ135" s="10076"/>
      <c r="AK135" s="10076"/>
      <c r="AL135" s="10076"/>
      <c r="AM135" s="10076"/>
      <c r="AN135" s="10076"/>
      <c r="AO135" s="10076"/>
      <c r="AP135" s="10076"/>
      <c r="AQ135" s="10076"/>
      <c r="AR135" s="9500"/>
      <c r="AS135" s="9501"/>
      <c r="AT135" s="9501"/>
      <c r="AU135" s="9501"/>
      <c r="AV135" s="9501"/>
      <c r="AW135" s="9501"/>
      <c r="AX135" s="9501"/>
      <c r="AY135" s="9501"/>
      <c r="AZ135" s="9501"/>
      <c r="BA135" s="9501"/>
      <c r="BB135" s="9502"/>
      <c r="BC135" s="9500"/>
      <c r="BD135" s="9501"/>
      <c r="BE135" s="9501"/>
      <c r="BF135" s="9501"/>
      <c r="BG135" s="9501"/>
      <c r="BH135" s="9501"/>
      <c r="BI135" s="9501"/>
      <c r="BJ135" s="9501"/>
      <c r="BK135" s="9501"/>
      <c r="BL135" s="9501"/>
      <c r="BM135" s="9502"/>
      <c r="BN135" s="9500"/>
      <c r="BO135" s="9501"/>
      <c r="BP135" s="9501"/>
      <c r="BQ135" s="9501"/>
      <c r="BR135" s="9501"/>
      <c r="BS135" s="9501"/>
      <c r="BT135" s="9501"/>
      <c r="BU135" s="9501"/>
      <c r="BV135" s="9501"/>
      <c r="BW135" s="9501"/>
      <c r="BX135" s="9502"/>
      <c r="BY135" s="9500"/>
      <c r="BZ135" s="9501"/>
      <c r="CA135" s="9501"/>
      <c r="CB135" s="9501"/>
      <c r="CC135" s="9501"/>
      <c r="CD135" s="9501"/>
      <c r="CE135" s="9501"/>
      <c r="CF135" s="9501"/>
      <c r="CG135" s="9501"/>
      <c r="CH135" s="9501"/>
      <c r="CI135" s="9502"/>
      <c r="CJ135" s="9500"/>
      <c r="CK135" s="9501"/>
      <c r="CL135" s="9501"/>
      <c r="CM135" s="9501"/>
      <c r="CN135" s="9501"/>
      <c r="CO135" s="9501"/>
      <c r="CP135" s="9501"/>
      <c r="CQ135" s="9501"/>
      <c r="CR135" s="9501"/>
      <c r="CS135" s="9501"/>
      <c r="CT135" s="10077"/>
      <c r="CU135" s="9500"/>
      <c r="CV135" s="9501"/>
      <c r="CW135" s="9501"/>
      <c r="CX135" s="9501"/>
      <c r="CY135" s="9501"/>
      <c r="CZ135" s="9501"/>
      <c r="DA135" s="9501"/>
      <c r="DB135" s="9501"/>
      <c r="DC135" s="9501"/>
      <c r="DD135" s="9501"/>
      <c r="DE135" s="9502"/>
      <c r="DF135" s="9500"/>
      <c r="DG135" s="9501"/>
      <c r="DH135" s="9501"/>
      <c r="DI135" s="9501"/>
      <c r="DJ135" s="9501"/>
      <c r="DK135" s="9501"/>
      <c r="DL135" s="9501"/>
      <c r="DM135" s="9501"/>
      <c r="DN135" s="9501"/>
      <c r="DO135" s="9501"/>
      <c r="DP135" s="9502"/>
      <c r="DQ135" s="10078"/>
      <c r="DR135" s="10064" t="s">
        <v>588</v>
      </c>
      <c r="DS135" s="9769"/>
      <c r="DT135" s="10065"/>
      <c r="DU135" s="10065" t="str">
        <f>IF(T135="","",T135)</f>
        <v>Наименование признака дифференциации</v>
      </c>
      <c r="DV135" s="10065"/>
      <c r="DW135" s="10065"/>
    </row>
    <row s="20087" customFormat="1" customHeight="1" ht="23.25">
      <c r="A136" s="10052"/>
      <c r="B136" s="10052"/>
      <c r="C136" s="10052"/>
      <c r="D136" s="10052"/>
      <c r="E136" s="10053"/>
      <c r="F136" s="10053" t="s">
        <v>131</v>
      </c>
      <c r="G136" s="10053"/>
      <c r="H136" s="10053"/>
      <c r="I136" s="10080"/>
      <c r="J136" s="10070" t="str">
        <f>I135&amp;".1"</f>
        <v>1.10.1.1.1</v>
      </c>
      <c r="K136" s="10052"/>
      <c r="L136" s="10055" t="s">
        <v>512</v>
      </c>
      <c r="M136" s="10071"/>
      <c r="N136" s="10071"/>
      <c r="O136" s="10071"/>
      <c r="P136" s="10072"/>
      <c r="Q136" s="10072">
        <v>1</v>
      </c>
      <c r="R136" s="10081"/>
      <c r="S136" s="10060" t="str">
        <f>$J136</f>
        <v>1.10.1.1.1</v>
      </c>
      <c r="T136" s="10082" t="s">
        <v>513</v>
      </c>
      <c r="U136" s="10062"/>
      <c r="V136" s="9506"/>
      <c r="W136" s="9507"/>
      <c r="X136" s="9507"/>
      <c r="Y136" s="9507"/>
      <c r="Z136" s="9507"/>
      <c r="AA136" s="9507"/>
      <c r="AB136" s="9507"/>
      <c r="AC136" s="9507"/>
      <c r="AD136" s="9507"/>
      <c r="AE136" s="9507"/>
      <c r="AF136" s="9508"/>
      <c r="AG136" s="9506" t="s">
        <v>647</v>
      </c>
      <c r="AH136" s="9507"/>
      <c r="AI136" s="9507"/>
      <c r="AJ136" s="9507"/>
      <c r="AK136" s="9507"/>
      <c r="AL136" s="9507"/>
      <c r="AM136" s="9507"/>
      <c r="AN136" s="9507"/>
      <c r="AO136" s="9507"/>
      <c r="AP136" s="9507"/>
      <c r="AQ136" s="9507"/>
      <c r="AR136" s="9506"/>
      <c r="AS136" s="9507"/>
      <c r="AT136" s="9507"/>
      <c r="AU136" s="9507"/>
      <c r="AV136" s="9507"/>
      <c r="AW136" s="9507"/>
      <c r="AX136" s="9507"/>
      <c r="AY136" s="9507"/>
      <c r="AZ136" s="9507"/>
      <c r="BA136" s="9507"/>
      <c r="BB136" s="9508"/>
      <c r="BC136" s="9506"/>
      <c r="BD136" s="9507"/>
      <c r="BE136" s="9507"/>
      <c r="BF136" s="9507"/>
      <c r="BG136" s="9507"/>
      <c r="BH136" s="9507"/>
      <c r="BI136" s="9507"/>
      <c r="BJ136" s="9507"/>
      <c r="BK136" s="9507"/>
      <c r="BL136" s="9507"/>
      <c r="BM136" s="9508"/>
      <c r="BN136" s="9506"/>
      <c r="BO136" s="9507"/>
      <c r="BP136" s="9507"/>
      <c r="BQ136" s="9507"/>
      <c r="BR136" s="9507"/>
      <c r="BS136" s="9507"/>
      <c r="BT136" s="9507"/>
      <c r="BU136" s="9507"/>
      <c r="BV136" s="9507"/>
      <c r="BW136" s="9507"/>
      <c r="BX136" s="9508"/>
      <c r="BY136" s="9506"/>
      <c r="BZ136" s="9507"/>
      <c r="CA136" s="9507"/>
      <c r="CB136" s="9507"/>
      <c r="CC136" s="9507"/>
      <c r="CD136" s="9507"/>
      <c r="CE136" s="9507"/>
      <c r="CF136" s="9507"/>
      <c r="CG136" s="9507"/>
      <c r="CH136" s="9507"/>
      <c r="CI136" s="9508"/>
      <c r="CJ136" s="9506"/>
      <c r="CK136" s="9507"/>
      <c r="CL136" s="9507"/>
      <c r="CM136" s="9507"/>
      <c r="CN136" s="9507"/>
      <c r="CO136" s="9507"/>
      <c r="CP136" s="9507"/>
      <c r="CQ136" s="9507"/>
      <c r="CR136" s="9507"/>
      <c r="CS136" s="9507"/>
      <c r="CT136" s="10083"/>
      <c r="CU136" s="9506"/>
      <c r="CV136" s="9507"/>
      <c r="CW136" s="9507"/>
      <c r="CX136" s="9507"/>
      <c r="CY136" s="9507"/>
      <c r="CZ136" s="9507"/>
      <c r="DA136" s="9507"/>
      <c r="DB136" s="9507"/>
      <c r="DC136" s="9507"/>
      <c r="DD136" s="9507"/>
      <c r="DE136" s="9508"/>
      <c r="DF136" s="9506"/>
      <c r="DG136" s="9507"/>
      <c r="DH136" s="9507"/>
      <c r="DI136" s="9507"/>
      <c r="DJ136" s="9507"/>
      <c r="DK136" s="9507"/>
      <c r="DL136" s="9507"/>
      <c r="DM136" s="9507"/>
      <c r="DN136" s="9507"/>
      <c r="DO136" s="9507"/>
      <c r="DP136" s="9508"/>
      <c r="DQ136" s="9508"/>
      <c r="DR136" s="10084" t="s">
        <v>589</v>
      </c>
      <c r="DS136" s="9769"/>
      <c r="DT136" s="10065"/>
      <c r="DU136" s="10065" t="str">
        <f>IF(T136="","",T136)</f>
        <v>Группа потребителей</v>
      </c>
      <c r="DV136" s="10065"/>
      <c r="DW136" s="10065"/>
    </row>
    <row s="20088" customFormat="1" customHeight="1" ht="23.25">
      <c r="A137" s="10052"/>
      <c r="B137" s="10052"/>
      <c r="C137" s="10052"/>
      <c r="D137" s="10052"/>
      <c r="E137" s="10053"/>
      <c r="F137" s="10053" t="s">
        <v>131</v>
      </c>
      <c r="G137" s="10053"/>
      <c r="H137" s="10053"/>
      <c r="I137" s="10080"/>
      <c r="J137" s="10080"/>
      <c r="K137" s="10070" t="str">
        <f>J136&amp;".1"</f>
        <v>1.10.1.1.1.1</v>
      </c>
      <c r="L137" s="10055"/>
      <c r="M137" s="10071"/>
      <c r="N137" s="10071"/>
      <c r="O137" s="10071"/>
      <c r="P137" s="10072"/>
      <c r="Q137" s="10072"/>
      <c r="R137" s="10081">
        <v>1</v>
      </c>
      <c r="S137" s="10060" t="str">
        <f>$K137</f>
        <v>1.10.1.1.1.1</v>
      </c>
      <c r="T137" s="10086"/>
      <c r="U137" s="10062"/>
      <c r="V137" s="9512"/>
      <c r="W137" s="9512"/>
      <c r="X137" s="9512"/>
      <c r="Y137" s="9512"/>
      <c r="Z137" s="9512"/>
      <c r="AA137" s="9512"/>
      <c r="AB137" s="9512"/>
      <c r="AC137" s="9513"/>
      <c r="AD137" s="9514" t="s">
        <v>63</v>
      </c>
      <c r="AE137" s="9513"/>
      <c r="AF137" s="9514" t="s">
        <v>63</v>
      </c>
      <c r="AG137" s="9512">
        <v>369.87</v>
      </c>
      <c r="AH137" s="9512"/>
      <c r="AI137" s="9512"/>
      <c r="AJ137" s="9512"/>
      <c r="AK137" s="9512"/>
      <c r="AL137" s="9512"/>
      <c r="AM137" s="9512"/>
      <c r="AN137" s="9513">
        <v>45658.61628472222</v>
      </c>
      <c r="AO137" s="9514" t="s">
        <v>63</v>
      </c>
      <c r="AP137" s="9817">
        <v>45838.61638888889</v>
      </c>
      <c r="AQ137" s="9514" t="s">
        <v>63</v>
      </c>
      <c r="AR137" s="9512">
        <v>603.09</v>
      </c>
      <c r="AS137" s="9512"/>
      <c r="AT137" s="9512"/>
      <c r="AU137" s="9512"/>
      <c r="AV137" s="9512"/>
      <c r="AW137" s="9512"/>
      <c r="AX137" s="9512"/>
      <c r="AY137" s="9513">
        <v>45839.616574074076</v>
      </c>
      <c r="AZ137" s="9514" t="s">
        <v>63</v>
      </c>
      <c r="BA137" s="9513">
        <v>46022.61666666667</v>
      </c>
      <c r="BB137" s="9514" t="s">
        <v>63</v>
      </c>
      <c r="BC137" s="9512">
        <v>603.09</v>
      </c>
      <c r="BD137" s="9512"/>
      <c r="BE137" s="9512"/>
      <c r="BF137" s="9512"/>
      <c r="BG137" s="9512"/>
      <c r="BH137" s="9512"/>
      <c r="BI137" s="9512"/>
      <c r="BJ137" s="9513">
        <v>46023.63652777778</v>
      </c>
      <c r="BK137" s="9514" t="s">
        <v>63</v>
      </c>
      <c r="BL137" s="9513">
        <v>46203.636666666665</v>
      </c>
      <c r="BM137" s="9514" t="s">
        <v>63</v>
      </c>
      <c r="BN137" s="9512">
        <v>627.21</v>
      </c>
      <c r="BO137" s="9512"/>
      <c r="BP137" s="9512"/>
      <c r="BQ137" s="9512"/>
      <c r="BR137" s="9512"/>
      <c r="BS137" s="9512"/>
      <c r="BT137" s="9512"/>
      <c r="BU137" s="9513">
        <v>46204.636782407404</v>
      </c>
      <c r="BV137" s="9514" t="s">
        <v>63</v>
      </c>
      <c r="BW137" s="9513">
        <v>46387.638449074075</v>
      </c>
      <c r="BX137" s="9514" t="s">
        <v>63</v>
      </c>
      <c r="BY137" s="9512">
        <v>627.21</v>
      </c>
      <c r="BZ137" s="9512"/>
      <c r="CA137" s="9512"/>
      <c r="CB137" s="9512"/>
      <c r="CC137" s="9512"/>
      <c r="CD137" s="9512"/>
      <c r="CE137" s="9512"/>
      <c r="CF137" s="9513">
        <v>46388.64200231482</v>
      </c>
      <c r="CG137" s="9514" t="s">
        <v>63</v>
      </c>
      <c r="CH137" s="9513">
        <v>46568.64212962963</v>
      </c>
      <c r="CI137" s="9514" t="s">
        <v>63</v>
      </c>
      <c r="CJ137" s="9512">
        <v>652.3</v>
      </c>
      <c r="CK137" s="9512"/>
      <c r="CL137" s="9512"/>
      <c r="CM137" s="9512"/>
      <c r="CN137" s="9512"/>
      <c r="CO137" s="9512"/>
      <c r="CP137" s="9512"/>
      <c r="CQ137" s="9513">
        <v>46569.64501157407</v>
      </c>
      <c r="CR137" s="9514" t="s">
        <v>63</v>
      </c>
      <c r="CS137" s="9513">
        <v>46752.64518518518</v>
      </c>
      <c r="CT137" s="10087" t="s">
        <v>63</v>
      </c>
      <c r="CU137" s="9512">
        <v>652.3</v>
      </c>
      <c r="CV137" s="9512"/>
      <c r="CW137" s="9512"/>
      <c r="CX137" s="9512"/>
      <c r="CY137" s="9512"/>
      <c r="CZ137" s="9512"/>
      <c r="DA137" s="9512"/>
      <c r="DB137" s="9513">
        <v>46753.6487037037</v>
      </c>
      <c r="DC137" s="9514" t="s">
        <v>63</v>
      </c>
      <c r="DD137" s="9513">
        <v>46934.64884259259</v>
      </c>
      <c r="DE137" s="9514" t="s">
        <v>63</v>
      </c>
      <c r="DF137" s="9512">
        <v>678.39</v>
      </c>
      <c r="DG137" s="9512"/>
      <c r="DH137" s="9512"/>
      <c r="DI137" s="9512"/>
      <c r="DJ137" s="9512"/>
      <c r="DK137" s="9512"/>
      <c r="DL137" s="9512"/>
      <c r="DM137" s="9513">
        <v>46935.66243055555</v>
      </c>
      <c r="DN137" s="9514" t="s">
        <v>63</v>
      </c>
      <c r="DO137" s="9513">
        <v>47118.662569444445</v>
      </c>
      <c r="DP137" s="9514" t="s">
        <v>63</v>
      </c>
      <c r="DQ137" s="10088"/>
      <c r="DR137" s="100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S137" s="9769">
        <f>STRCHECKDATE(V138:DQ138)</f>
      </c>
      <c r="DT137" s="10065"/>
      <c r="DU137" s="10065" t="str">
        <f>IF(T137="","",T137)</f>
        <v/>
      </c>
      <c r="DV137" s="10065"/>
      <c r="DW137" s="10065"/>
    </row>
    <row s="20089" customFormat="1" customHeight="1" ht="14.25">
      <c r="A138" s="10052"/>
      <c r="B138" s="10052"/>
      <c r="C138" s="10052"/>
      <c r="D138" s="10052"/>
      <c r="E138" s="10053"/>
      <c r="F138" s="10053" t="s">
        <v>131</v>
      </c>
      <c r="G138" s="10053"/>
      <c r="H138" s="10053"/>
      <c r="I138" s="10080"/>
      <c r="J138" s="10080"/>
      <c r="K138" s="10070"/>
      <c r="L138" s="10055"/>
      <c r="M138" s="10071"/>
      <c r="N138" s="10071"/>
      <c r="O138" s="10071"/>
      <c r="P138" s="10072"/>
      <c r="Q138" s="10072"/>
      <c r="R138" s="10081"/>
      <c r="S138" s="10091"/>
      <c r="T138" s="10062"/>
      <c r="U138" s="10062"/>
      <c r="V138" s="9517"/>
      <c r="W138" s="9517"/>
      <c r="X138" s="9517"/>
      <c r="Y138" s="9517"/>
      <c r="Z138" s="9517"/>
      <c r="AA138" s="9517"/>
      <c r="AB138" s="9517"/>
      <c r="AC138" s="9518"/>
      <c r="AD138" s="9514"/>
      <c r="AE138" s="9518"/>
      <c r="AF138" s="9514"/>
      <c r="AG138" s="9517"/>
      <c r="AH138" s="9517"/>
      <c r="AI138" s="9517"/>
      <c r="AJ138" s="9517"/>
      <c r="AK138" s="9517"/>
      <c r="AL138" s="9517"/>
      <c r="AM138" s="9517"/>
      <c r="AN138" s="9518"/>
      <c r="AO138" s="9514"/>
      <c r="AP138" s="9819"/>
      <c r="AQ138" s="9514"/>
      <c r="AR138" s="9517"/>
      <c r="AS138" s="9517"/>
      <c r="AT138" s="9517"/>
      <c r="AU138" s="9517"/>
      <c r="AV138" s="9517"/>
      <c r="AW138" s="9517"/>
      <c r="AX138" s="9517"/>
      <c r="AY138" s="9518"/>
      <c r="AZ138" s="9514"/>
      <c r="BA138" s="9518"/>
      <c r="BB138" s="9514"/>
      <c r="BC138" s="9517"/>
      <c r="BD138" s="9517"/>
      <c r="BE138" s="9517"/>
      <c r="BF138" s="9517"/>
      <c r="BG138" s="9517"/>
      <c r="BH138" s="9517"/>
      <c r="BI138" s="9517"/>
      <c r="BJ138" s="9518"/>
      <c r="BK138" s="9514"/>
      <c r="BL138" s="9518"/>
      <c r="BM138" s="9514"/>
      <c r="BN138" s="9517"/>
      <c r="BO138" s="9517"/>
      <c r="BP138" s="9517"/>
      <c r="BQ138" s="9517"/>
      <c r="BR138" s="9517"/>
      <c r="BS138" s="9517"/>
      <c r="BT138" s="9517"/>
      <c r="BU138" s="9518"/>
      <c r="BV138" s="9514"/>
      <c r="BW138" s="9518"/>
      <c r="BX138" s="9514"/>
      <c r="BY138" s="9517"/>
      <c r="BZ138" s="9517"/>
      <c r="CA138" s="9517"/>
      <c r="CB138" s="9517"/>
      <c r="CC138" s="9517"/>
      <c r="CD138" s="9517"/>
      <c r="CE138" s="9517"/>
      <c r="CF138" s="9518"/>
      <c r="CG138" s="9514"/>
      <c r="CH138" s="9518"/>
      <c r="CI138" s="9514"/>
      <c r="CJ138" s="9517"/>
      <c r="CK138" s="9517"/>
      <c r="CL138" s="9517"/>
      <c r="CM138" s="9517"/>
      <c r="CN138" s="9517"/>
      <c r="CO138" s="9517"/>
      <c r="CP138" s="9517"/>
      <c r="CQ138" s="9518"/>
      <c r="CR138" s="9514"/>
      <c r="CS138" s="9518"/>
      <c r="CT138" s="10087"/>
      <c r="CU138" s="9517"/>
      <c r="CV138" s="9517"/>
      <c r="CW138" s="9517"/>
      <c r="CX138" s="9517"/>
      <c r="CY138" s="9517"/>
      <c r="CZ138" s="9517"/>
      <c r="DA138" s="9517"/>
      <c r="DB138" s="9518"/>
      <c r="DC138" s="9514"/>
      <c r="DD138" s="9518"/>
      <c r="DE138" s="9514"/>
      <c r="DF138" s="9517"/>
      <c r="DG138" s="9517"/>
      <c r="DH138" s="9517"/>
      <c r="DI138" s="9517"/>
      <c r="DJ138" s="9517"/>
      <c r="DK138" s="9517"/>
      <c r="DL138" s="9517"/>
      <c r="DM138" s="9518"/>
      <c r="DN138" s="9514"/>
      <c r="DO138" s="9518"/>
      <c r="DP138" s="9514"/>
      <c r="DQ138" s="10092"/>
      <c r="DR138" s="10089"/>
      <c r="DS138" s="9769"/>
      <c r="DT138" s="10065"/>
      <c r="DU138" s="10065" t="str">
        <f>IF(T138="","",T138)</f>
        <v/>
      </c>
      <c r="DV138" s="10065"/>
      <c r="DW138" s="10065"/>
    </row>
    <row s="20090" customFormat="1" customHeight="1" ht="21">
      <c r="A139" s="10052"/>
      <c r="B139" s="10052"/>
      <c r="C139" s="10052"/>
      <c r="D139" s="10052"/>
      <c r="E139" s="10053"/>
      <c r="F139" s="10053" t="s">
        <v>131</v>
      </c>
      <c r="G139" s="10053"/>
      <c r="H139" s="10053"/>
      <c r="I139" s="10080"/>
      <c r="J139" s="10070"/>
      <c r="K139" s="10052"/>
      <c r="L139" s="10055"/>
      <c r="M139" s="10071"/>
      <c r="N139" s="10071"/>
      <c r="O139" s="10071"/>
      <c r="P139" s="10072"/>
      <c r="Q139" s="10072"/>
      <c r="R139" s="10073"/>
      <c r="S139" s="12673"/>
      <c r="T139" s="12674" t="s">
        <v>590</v>
      </c>
      <c r="U139" s="12675"/>
      <c r="V139" s="12676"/>
      <c r="W139" s="12677"/>
      <c r="X139" s="12678"/>
      <c r="Y139" s="12679"/>
      <c r="Z139" s="12680"/>
      <c r="AA139" s="12681"/>
      <c r="AB139" s="12682"/>
      <c r="AC139" s="12683"/>
      <c r="AD139" s="12684"/>
      <c r="AE139" s="12685"/>
      <c r="AF139" s="12686"/>
      <c r="AG139" s="12687"/>
      <c r="AH139" s="12688"/>
      <c r="AI139" s="12689"/>
      <c r="AJ139" s="12690"/>
      <c r="AK139" s="12691"/>
      <c r="AL139" s="12692"/>
      <c r="AM139" s="12693"/>
      <c r="AN139" s="12694"/>
      <c r="AO139" s="12695"/>
      <c r="AP139" s="12696"/>
      <c r="AQ139" s="12697"/>
      <c r="AR139" s="12698"/>
      <c r="AS139" s="12699"/>
      <c r="AT139" s="12700"/>
      <c r="AU139" s="12701"/>
      <c r="AV139" s="12702"/>
      <c r="AW139" s="12703"/>
      <c r="AX139" s="12704"/>
      <c r="AY139" s="12705"/>
      <c r="AZ139" s="12706"/>
      <c r="BA139" s="12707"/>
      <c r="BB139" s="12708"/>
      <c r="BC139" s="12709"/>
      <c r="BD139" s="12710"/>
      <c r="BE139" s="12711"/>
      <c r="BF139" s="12712"/>
      <c r="BG139" s="12713"/>
      <c r="BH139" s="12714"/>
      <c r="BI139" s="12715"/>
      <c r="BJ139" s="12716"/>
      <c r="BK139" s="12717"/>
      <c r="BL139" s="12718"/>
      <c r="BM139" s="12719"/>
      <c r="BN139" s="12720"/>
      <c r="BO139" s="12721"/>
      <c r="BP139" s="12722"/>
      <c r="BQ139" s="12723"/>
      <c r="BR139" s="12724"/>
      <c r="BS139" s="12725"/>
      <c r="BT139" s="12726"/>
      <c r="BU139" s="12727"/>
      <c r="BV139" s="12728"/>
      <c r="BW139" s="12729"/>
      <c r="BX139" s="12730"/>
      <c r="BY139" s="12731"/>
      <c r="BZ139" s="12732"/>
      <c r="CA139" s="12733"/>
      <c r="CB139" s="12734"/>
      <c r="CC139" s="12735"/>
      <c r="CD139" s="12736"/>
      <c r="CE139" s="12737"/>
      <c r="CF139" s="12738"/>
      <c r="CG139" s="12739"/>
      <c r="CH139" s="12740"/>
      <c r="CI139" s="12741"/>
      <c r="CJ139" s="12742"/>
      <c r="CK139" s="12743"/>
      <c r="CL139" s="12744"/>
      <c r="CM139" s="12745"/>
      <c r="CN139" s="12746"/>
      <c r="CO139" s="12747"/>
      <c r="CP139" s="12748"/>
      <c r="CQ139" s="12749"/>
      <c r="CR139" s="12750"/>
      <c r="CS139" s="12751"/>
      <c r="CT139" s="12752"/>
      <c r="CU139" s="12753"/>
      <c r="CV139" s="12754"/>
      <c r="CW139" s="12755"/>
      <c r="CX139" s="12756"/>
      <c r="CY139" s="12757"/>
      <c r="CZ139" s="12758"/>
      <c r="DA139" s="12759"/>
      <c r="DB139" s="12760"/>
      <c r="DC139" s="12761"/>
      <c r="DD139" s="12762"/>
      <c r="DE139" s="12763"/>
      <c r="DF139" s="12764"/>
      <c r="DG139" s="12765"/>
      <c r="DH139" s="12766"/>
      <c r="DI139" s="12767"/>
      <c r="DJ139" s="12768"/>
      <c r="DK139" s="12769"/>
      <c r="DL139" s="12770"/>
      <c r="DM139" s="12771"/>
      <c r="DN139" s="12772"/>
      <c r="DO139" s="12773"/>
      <c r="DP139" s="12774"/>
      <c r="DQ139" s="12775"/>
      <c r="DR139" s="10064" t="s">
        <v>591</v>
      </c>
      <c r="DS139" s="9769"/>
      <c r="DT139" s="10065"/>
      <c r="DU139" s="10065" t="str">
        <f>IF(T139="","",T139)</f>
        <v>Добавить значение признака дифференциации</v>
      </c>
      <c r="DV139" s="10065"/>
      <c r="DW139" s="10065"/>
    </row>
    <row s="20194" customFormat="1" customHeight="1" ht="21">
      <c r="A140" s="10052"/>
      <c r="B140" s="10052"/>
      <c r="C140" s="10052"/>
      <c r="D140" s="10052"/>
      <c r="E140" s="10053"/>
      <c r="F140" s="10053" t="s">
        <v>131</v>
      </c>
      <c r="G140" s="10053"/>
      <c r="H140" s="10053"/>
      <c r="I140" s="10070"/>
      <c r="J140" s="10052"/>
      <c r="K140" s="10052"/>
      <c r="L140" s="10055"/>
      <c r="M140" s="10071"/>
      <c r="N140" s="10071"/>
      <c r="O140" s="10071"/>
      <c r="P140" s="10072"/>
      <c r="Q140" s="10072"/>
      <c r="R140" s="10073"/>
      <c r="S140" s="12777"/>
      <c r="T140" s="12778" t="s">
        <v>518</v>
      </c>
      <c r="U140" s="12779"/>
      <c r="V140" s="12780"/>
      <c r="W140" s="12781"/>
      <c r="X140" s="12782"/>
      <c r="Y140" s="12783"/>
      <c r="Z140" s="12784"/>
      <c r="AA140" s="12785"/>
      <c r="AB140" s="12786"/>
      <c r="AC140" s="12787"/>
      <c r="AD140" s="12788"/>
      <c r="AE140" s="12789"/>
      <c r="AF140" s="12790"/>
      <c r="AG140" s="12791"/>
      <c r="AH140" s="12792"/>
      <c r="AI140" s="12793"/>
      <c r="AJ140" s="12794"/>
      <c r="AK140" s="12795"/>
      <c r="AL140" s="12796"/>
      <c r="AM140" s="12797"/>
      <c r="AN140" s="12798"/>
      <c r="AO140" s="12799"/>
      <c r="AP140" s="12800"/>
      <c r="AQ140" s="12801"/>
      <c r="AR140" s="12802"/>
      <c r="AS140" s="12803"/>
      <c r="AT140" s="12804"/>
      <c r="AU140" s="12805"/>
      <c r="AV140" s="12806"/>
      <c r="AW140" s="12807"/>
      <c r="AX140" s="12808"/>
      <c r="AY140" s="12809"/>
      <c r="AZ140" s="12810"/>
      <c r="BA140" s="12811"/>
      <c r="BB140" s="12812"/>
      <c r="BC140" s="12813"/>
      <c r="BD140" s="12814"/>
      <c r="BE140" s="12815"/>
      <c r="BF140" s="12816"/>
      <c r="BG140" s="12817"/>
      <c r="BH140" s="12818"/>
      <c r="BI140" s="12819"/>
      <c r="BJ140" s="12820"/>
      <c r="BK140" s="12821"/>
      <c r="BL140" s="12822"/>
      <c r="BM140" s="12823"/>
      <c r="BN140" s="12824"/>
      <c r="BO140" s="12825"/>
      <c r="BP140" s="12826"/>
      <c r="BQ140" s="12827"/>
      <c r="BR140" s="12828"/>
      <c r="BS140" s="12829"/>
      <c r="BT140" s="12830"/>
      <c r="BU140" s="12831"/>
      <c r="BV140" s="12832"/>
      <c r="BW140" s="12833"/>
      <c r="BX140" s="12834"/>
      <c r="BY140" s="12835"/>
      <c r="BZ140" s="12836"/>
      <c r="CA140" s="12837"/>
      <c r="CB140" s="12838"/>
      <c r="CC140" s="12839"/>
      <c r="CD140" s="12840"/>
      <c r="CE140" s="12841"/>
      <c r="CF140" s="12842"/>
      <c r="CG140" s="12843"/>
      <c r="CH140" s="12844"/>
      <c r="CI140" s="12845"/>
      <c r="CJ140" s="12846"/>
      <c r="CK140" s="12847"/>
      <c r="CL140" s="12848"/>
      <c r="CM140" s="12849"/>
      <c r="CN140" s="12850"/>
      <c r="CO140" s="12851"/>
      <c r="CP140" s="12852"/>
      <c r="CQ140" s="12853"/>
      <c r="CR140" s="12854"/>
      <c r="CS140" s="12855"/>
      <c r="CT140" s="12856"/>
      <c r="CU140" s="12857"/>
      <c r="CV140" s="12858"/>
      <c r="CW140" s="12859"/>
      <c r="CX140" s="12860"/>
      <c r="CY140" s="12861"/>
      <c r="CZ140" s="12862"/>
      <c r="DA140" s="12863"/>
      <c r="DB140" s="12864"/>
      <c r="DC140" s="12865"/>
      <c r="DD140" s="12866"/>
      <c r="DE140" s="12867"/>
      <c r="DF140" s="12868"/>
      <c r="DG140" s="12869"/>
      <c r="DH140" s="12870"/>
      <c r="DI140" s="12871"/>
      <c r="DJ140" s="12872"/>
      <c r="DK140" s="12873"/>
      <c r="DL140" s="12874"/>
      <c r="DM140" s="12875"/>
      <c r="DN140" s="12876"/>
      <c r="DO140" s="12877"/>
      <c r="DP140" s="12878"/>
      <c r="DQ140" s="12879"/>
      <c r="DR140" s="12880"/>
      <c r="DS140" s="9769"/>
      <c r="DT140" s="10065"/>
      <c r="DU140" s="10065" t="str">
        <f>IF(T140="","",T140)</f>
        <v>Добавить группу потребителей</v>
      </c>
      <c r="DV140" s="10065"/>
      <c r="DW140" s="10065"/>
    </row>
    <row s="20299" customFormat="1" customHeight="1" ht="21">
      <c r="A141" s="10052"/>
      <c r="B141" s="10052"/>
      <c r="C141" s="10052"/>
      <c r="D141" s="10052"/>
      <c r="E141" s="10053"/>
      <c r="F141" s="10053" t="s">
        <v>131</v>
      </c>
      <c r="G141" s="10053"/>
      <c r="H141" s="10054"/>
      <c r="I141" s="10052"/>
      <c r="J141" s="10052"/>
      <c r="K141" s="10052"/>
      <c r="L141" s="10055"/>
      <c r="M141" s="10056"/>
      <c r="N141" s="10056"/>
      <c r="O141" s="9754"/>
      <c r="P141" s="10303"/>
      <c r="Q141" s="10304"/>
      <c r="R141" s="10305"/>
      <c r="S141" s="12882"/>
      <c r="T141" s="12883" t="s">
        <v>592</v>
      </c>
      <c r="U141" s="12884"/>
      <c r="V141" s="12885"/>
      <c r="W141" s="12886"/>
      <c r="X141" s="12887"/>
      <c r="Y141" s="12888"/>
      <c r="Z141" s="12889"/>
      <c r="AA141" s="12890"/>
      <c r="AB141" s="12891"/>
      <c r="AC141" s="12892"/>
      <c r="AD141" s="12893"/>
      <c r="AE141" s="12894"/>
      <c r="AF141" s="12895"/>
      <c r="AG141" s="12896"/>
      <c r="AH141" s="12897"/>
      <c r="AI141" s="12898"/>
      <c r="AJ141" s="12899"/>
      <c r="AK141" s="12900"/>
      <c r="AL141" s="12901"/>
      <c r="AM141" s="12902"/>
      <c r="AN141" s="12903"/>
      <c r="AO141" s="12904"/>
      <c r="AP141" s="12905"/>
      <c r="AQ141" s="12906"/>
      <c r="AR141" s="12907"/>
      <c r="AS141" s="12908"/>
      <c r="AT141" s="12909"/>
      <c r="AU141" s="12910"/>
      <c r="AV141" s="12911"/>
      <c r="AW141" s="12912"/>
      <c r="AX141" s="12913"/>
      <c r="AY141" s="12914"/>
      <c r="AZ141" s="12915"/>
      <c r="BA141" s="12916"/>
      <c r="BB141" s="12917"/>
      <c r="BC141" s="12918"/>
      <c r="BD141" s="12919"/>
      <c r="BE141" s="12920"/>
      <c r="BF141" s="12921"/>
      <c r="BG141" s="12922"/>
      <c r="BH141" s="12923"/>
      <c r="BI141" s="12924"/>
      <c r="BJ141" s="12925"/>
      <c r="BK141" s="12926"/>
      <c r="BL141" s="12927"/>
      <c r="BM141" s="12928"/>
      <c r="BN141" s="12929"/>
      <c r="BO141" s="12930"/>
      <c r="BP141" s="12931"/>
      <c r="BQ141" s="12932"/>
      <c r="BR141" s="12933"/>
      <c r="BS141" s="12934"/>
      <c r="BT141" s="12935"/>
      <c r="BU141" s="12936"/>
      <c r="BV141" s="12937"/>
      <c r="BW141" s="12938"/>
      <c r="BX141" s="12939"/>
      <c r="BY141" s="12940"/>
      <c r="BZ141" s="12941"/>
      <c r="CA141" s="12942"/>
      <c r="CB141" s="12943"/>
      <c r="CC141" s="12944"/>
      <c r="CD141" s="12945"/>
      <c r="CE141" s="12946"/>
      <c r="CF141" s="12947"/>
      <c r="CG141" s="12948"/>
      <c r="CH141" s="12949"/>
      <c r="CI141" s="12950"/>
      <c r="CJ141" s="12951"/>
      <c r="CK141" s="12952"/>
      <c r="CL141" s="12953"/>
      <c r="CM141" s="12954"/>
      <c r="CN141" s="12955"/>
      <c r="CO141" s="12956"/>
      <c r="CP141" s="12957"/>
      <c r="CQ141" s="12958"/>
      <c r="CR141" s="12959"/>
      <c r="CS141" s="12960"/>
      <c r="CT141" s="12961"/>
      <c r="CU141" s="12962"/>
      <c r="CV141" s="12963"/>
      <c r="CW141" s="12964"/>
      <c r="CX141" s="12965"/>
      <c r="CY141" s="12966"/>
      <c r="CZ141" s="12967"/>
      <c r="DA141" s="12968"/>
      <c r="DB141" s="12969"/>
      <c r="DC141" s="12970"/>
      <c r="DD141" s="12971"/>
      <c r="DE141" s="12972"/>
      <c r="DF141" s="12973"/>
      <c r="DG141" s="12974"/>
      <c r="DH141" s="12975"/>
      <c r="DI141" s="12976"/>
      <c r="DJ141" s="12977"/>
      <c r="DK141" s="12978"/>
      <c r="DL141" s="12979"/>
      <c r="DM141" s="12980"/>
      <c r="DN141" s="12981"/>
      <c r="DO141" s="12982"/>
      <c r="DP141" s="12983"/>
      <c r="DQ141" s="12984"/>
      <c r="DR141" s="12985"/>
      <c r="DS141" s="9769"/>
      <c r="DT141" s="10065"/>
      <c r="DU141" s="10065" t="str">
        <f>IF(T141="","",T141)</f>
        <v>Добавить наименование признака дифференциации</v>
      </c>
      <c r="DV141" s="10065"/>
      <c r="DW141" s="10065"/>
    </row>
    <row s="20404" customFormat="1" customHeight="1" ht="14.25">
      <c r="A142" s="10411"/>
      <c r="B142" s="10411"/>
      <c r="C142" s="10411"/>
      <c r="D142" s="10411"/>
      <c r="E142" s="10053"/>
      <c r="F142" s="10054" t="s">
        <v>131</v>
      </c>
      <c r="G142" s="10411"/>
      <c r="H142" s="10411"/>
      <c r="I142" s="10411"/>
      <c r="J142" s="10411"/>
      <c r="K142" s="10411"/>
      <c r="L142" s="10412"/>
      <c r="M142" s="10413"/>
      <c r="N142" s="10413"/>
      <c r="O142" s="9769"/>
      <c r="P142" s="10414"/>
      <c r="Q142" s="10415"/>
      <c r="R142" s="10414"/>
      <c r="S142" s="10416"/>
      <c r="T142" s="10417" t="s">
        <v>305</v>
      </c>
      <c r="U142" s="9751"/>
      <c r="V142" s="9751"/>
      <c r="W142" s="9751"/>
      <c r="X142" s="9751"/>
      <c r="Y142" s="9751"/>
      <c r="Z142" s="9751"/>
      <c r="AA142" s="9751"/>
      <c r="AB142" s="9751"/>
      <c r="AC142" s="9751"/>
      <c r="AD142" s="9751"/>
      <c r="AE142" s="9751"/>
      <c r="AF142" s="9751"/>
      <c r="AG142" s="9751"/>
      <c r="AH142" s="9751"/>
      <c r="AI142" s="9751"/>
      <c r="AJ142" s="9751"/>
      <c r="AK142" s="9751"/>
      <c r="AL142" s="9751"/>
      <c r="AM142" s="9751"/>
      <c r="AN142" s="9751"/>
      <c r="AO142" s="9751"/>
      <c r="AP142" s="9751"/>
      <c r="AQ142" s="9751"/>
      <c r="AR142" s="9751"/>
      <c r="AS142" s="9751"/>
      <c r="AT142" s="9751"/>
      <c r="AU142" s="9751"/>
      <c r="AV142" s="9751"/>
      <c r="AW142" s="9751"/>
      <c r="AX142" s="9751"/>
      <c r="AY142" s="9751"/>
      <c r="AZ142" s="9751"/>
      <c r="BA142" s="9751"/>
      <c r="BB142" s="9751"/>
      <c r="BC142" s="9751"/>
      <c r="BD142" s="9751"/>
      <c r="BE142" s="9751"/>
      <c r="BF142" s="9751"/>
      <c r="BG142" s="9751"/>
      <c r="BH142" s="9751"/>
      <c r="BI142" s="9751"/>
      <c r="BJ142" s="9751"/>
      <c r="BK142" s="9751"/>
      <c r="BL142" s="9751"/>
      <c r="BM142" s="9751"/>
      <c r="BN142" s="9751"/>
      <c r="BO142" s="9751"/>
      <c r="BP142" s="9751"/>
      <c r="BQ142" s="9751"/>
      <c r="BR142" s="9751"/>
      <c r="BS142" s="9751"/>
      <c r="BT142" s="9751"/>
      <c r="BU142" s="9751"/>
      <c r="BV142" s="9751"/>
      <c r="BW142" s="9751"/>
      <c r="BX142" s="9751"/>
      <c r="BY142" s="9751"/>
      <c r="BZ142" s="9751"/>
      <c r="CA142" s="9751"/>
      <c r="CB142" s="9751"/>
      <c r="CC142" s="9751"/>
      <c r="CD142" s="9751"/>
      <c r="CE142" s="9751"/>
      <c r="CF142" s="9751"/>
      <c r="CG142" s="9751"/>
      <c r="CH142" s="9751"/>
      <c r="CI142" s="9751"/>
      <c r="CJ142" s="9751"/>
      <c r="CK142" s="9751"/>
      <c r="CL142" s="9751"/>
      <c r="CM142" s="9751"/>
      <c r="CN142" s="9751"/>
      <c r="CO142" s="9751"/>
      <c r="CP142" s="9751"/>
      <c r="CQ142" s="9751"/>
      <c r="CR142" s="9751"/>
      <c r="CS142" s="9751"/>
      <c r="CT142" s="10418"/>
      <c r="CU142" s="9751"/>
      <c r="CV142" s="9751"/>
      <c r="CW142" s="9751"/>
      <c r="CX142" s="9751"/>
      <c r="CY142" s="9751"/>
      <c r="CZ142" s="9751"/>
      <c r="DA142" s="9751"/>
      <c r="DB142" s="9751"/>
      <c r="DC142" s="9751"/>
      <c r="DD142" s="9751"/>
      <c r="DE142" s="9751"/>
      <c r="DF142" s="9751"/>
      <c r="DG142" s="9751"/>
      <c r="DH142" s="9751"/>
      <c r="DI142" s="9751"/>
      <c r="DJ142" s="9751"/>
      <c r="DK142" s="9751"/>
      <c r="DL142" s="9751"/>
      <c r="DM142" s="9751"/>
      <c r="DN142" s="9751"/>
      <c r="DO142" s="9751"/>
      <c r="DP142" s="9751"/>
      <c r="DQ142" s="9751"/>
      <c r="DR142" s="9751"/>
      <c r="DS142" s="9769"/>
      <c r="DT142" s="10065"/>
      <c r="DU142" s="10065" t="str">
        <f>IF(T142="","",T142)</f>
        <v>Добавить централизованную систему для дифференциации</v>
      </c>
      <c r="DV142" s="10065"/>
      <c r="DW142" s="10065"/>
    </row>
    <row s="20405" customFormat="1" customHeight="1" ht="23.25">
      <c r="A143" s="10052"/>
      <c r="B143" s="10052" t="s">
        <v>343</v>
      </c>
      <c r="C143" s="10052"/>
      <c r="D143" s="10052"/>
      <c r="E143" s="10053"/>
      <c r="F143" s="10054" t="s">
        <v>141</v>
      </c>
      <c r="G143" s="10052"/>
      <c r="H143" s="10052"/>
      <c r="I143" s="10052"/>
      <c r="J143" s="10052"/>
      <c r="K143" s="10052"/>
      <c r="L143" s="10055"/>
      <c r="M143" s="10056"/>
      <c r="N143" s="10056"/>
      <c r="O143" s="10056"/>
      <c r="P143" s="10057"/>
      <c r="Q143" s="10058"/>
      <c r="R143" s="10059"/>
      <c r="S143" s="10060" t="str">
        <f>INDEX(PT_DIFFERENTIATION_NUM_TER,MATCH(B143,PT_DIFFERENTIATION_TER_ID,0))</f>
        <v>1.11</v>
      </c>
      <c r="T143" s="10061" t="s">
        <v>503</v>
      </c>
      <c r="U143" s="10062"/>
      <c r="V143" s="9494"/>
      <c r="W143" s="9495"/>
      <c r="X143" s="9495"/>
      <c r="Y143" s="9495"/>
      <c r="Z143" s="9495"/>
      <c r="AA143" s="9495"/>
      <c r="AB143" s="9495"/>
      <c r="AC143" s="9495"/>
      <c r="AD143" s="9495"/>
      <c r="AE143" s="9495"/>
      <c r="AF143" s="9496"/>
      <c r="AG143" s="9494" t="str">
        <f>INDEX(PT_DIFFERENTIATION_TER,MATCH(B143,PT_DIFFERENTIATION_TER_ID,0))</f>
        <v>Территория 11</v>
      </c>
      <c r="AH143" s="9495"/>
      <c r="AI143" s="9495"/>
      <c r="AJ143" s="9495"/>
      <c r="AK143" s="9495"/>
      <c r="AL143" s="9495"/>
      <c r="AM143" s="9495"/>
      <c r="AN143" s="9495"/>
      <c r="AO143" s="9495"/>
      <c r="AP143" s="9495"/>
      <c r="AQ143" s="9495"/>
      <c r="AR143" s="9494"/>
      <c r="AS143" s="9495"/>
      <c r="AT143" s="9495"/>
      <c r="AU143" s="9495"/>
      <c r="AV143" s="9495"/>
      <c r="AW143" s="9495"/>
      <c r="AX143" s="9495"/>
      <c r="AY143" s="9495"/>
      <c r="AZ143" s="9495"/>
      <c r="BA143" s="9495"/>
      <c r="BB143" s="9496"/>
      <c r="BC143" s="9494"/>
      <c r="BD143" s="9495"/>
      <c r="BE143" s="9495"/>
      <c r="BF143" s="9495"/>
      <c r="BG143" s="9495"/>
      <c r="BH143" s="9495"/>
      <c r="BI143" s="9495"/>
      <c r="BJ143" s="9495"/>
      <c r="BK143" s="9495"/>
      <c r="BL143" s="9495"/>
      <c r="BM143" s="9496"/>
      <c r="BN143" s="9494"/>
      <c r="BO143" s="9495"/>
      <c r="BP143" s="9495"/>
      <c r="BQ143" s="9495"/>
      <c r="BR143" s="9495"/>
      <c r="BS143" s="9495"/>
      <c r="BT143" s="9495"/>
      <c r="BU143" s="9495"/>
      <c r="BV143" s="9495"/>
      <c r="BW143" s="9495"/>
      <c r="BX143" s="9496"/>
      <c r="BY143" s="9494"/>
      <c r="BZ143" s="9495"/>
      <c r="CA143" s="9495"/>
      <c r="CB143" s="9495"/>
      <c r="CC143" s="9495"/>
      <c r="CD143" s="9495"/>
      <c r="CE143" s="9495"/>
      <c r="CF143" s="9495"/>
      <c r="CG143" s="9495"/>
      <c r="CH143" s="9495"/>
      <c r="CI143" s="9496"/>
      <c r="CJ143" s="9494"/>
      <c r="CK143" s="9495"/>
      <c r="CL143" s="9495"/>
      <c r="CM143" s="9495"/>
      <c r="CN143" s="9495"/>
      <c r="CO143" s="9495"/>
      <c r="CP143" s="9495"/>
      <c r="CQ143" s="9495"/>
      <c r="CR143" s="9495"/>
      <c r="CS143" s="9495"/>
      <c r="CT143" s="10063"/>
      <c r="CU143" s="9494"/>
      <c r="CV143" s="9495"/>
      <c r="CW143" s="9495"/>
      <c r="CX143" s="9495"/>
      <c r="CY143" s="9495"/>
      <c r="CZ143" s="9495"/>
      <c r="DA143" s="9495"/>
      <c r="DB143" s="9495"/>
      <c r="DC143" s="9495"/>
      <c r="DD143" s="9495"/>
      <c r="DE143" s="9496"/>
      <c r="DF143" s="9494"/>
      <c r="DG143" s="9495"/>
      <c r="DH143" s="9495"/>
      <c r="DI143" s="9495"/>
      <c r="DJ143" s="9495"/>
      <c r="DK143" s="9495"/>
      <c r="DL143" s="9495"/>
      <c r="DM143" s="9495"/>
      <c r="DN143" s="9495"/>
      <c r="DO143" s="9495"/>
      <c r="DP143" s="9496"/>
      <c r="DQ143" s="9496"/>
      <c r="DR143" s="10064" t="s">
        <v>504</v>
      </c>
      <c r="DS143" s="9769"/>
      <c r="DT143" s="10065"/>
      <c r="DU143" s="10065" t="str">
        <f>IF(T143="","",T143)</f>
        <v>Территория действия тарифа</v>
      </c>
      <c r="DV143" s="10065"/>
      <c r="DW143" s="10065"/>
    </row>
    <row s="20406" customFormat="1" customHeight="1" ht="23.25">
      <c r="A144" s="10052"/>
      <c r="B144" s="10052"/>
      <c r="C144" s="10052" t="s">
        <v>344</v>
      </c>
      <c r="D144" s="10052"/>
      <c r="E144" s="10053"/>
      <c r="F144" s="10053" t="s">
        <v>136</v>
      </c>
      <c r="G144" s="10054">
        <v>1</v>
      </c>
      <c r="H144" s="10052"/>
      <c r="I144" s="10052"/>
      <c r="J144" s="10052"/>
      <c r="K144" s="10052"/>
      <c r="L144" s="10055"/>
      <c r="M144" s="10056"/>
      <c r="N144" s="10056"/>
      <c r="O144" s="10056"/>
      <c r="P144" s="10067"/>
      <c r="Q144" s="10058"/>
      <c r="R144" s="10059"/>
      <c r="S144" s="10060" t="str">
        <f>INDEX(PT_DIFFERENTIATION_NUM_CS,MATCH(C144,PT_DIFFERENTIATION_CS_ID,0))</f>
        <v>1.11.1</v>
      </c>
      <c r="T144" s="10068" t="s">
        <v>634</v>
      </c>
      <c r="U144" s="10062"/>
      <c r="V144" s="9494"/>
      <c r="W144" s="9495"/>
      <c r="X144" s="9495"/>
      <c r="Y144" s="9495"/>
      <c r="Z144" s="9495"/>
      <c r="AA144" s="9495"/>
      <c r="AB144" s="9495"/>
      <c r="AC144" s="9495"/>
      <c r="AD144" s="9495"/>
      <c r="AE144" s="9495"/>
      <c r="AF144" s="9496"/>
      <c r="AG144" s="9494" t="str">
        <f>INDEX(PT_DIFFERENTIATION_CS,MATCH(C144,PT_DIFFERENTIATION_CS_ID,0))</f>
        <v>с. Екатериновка Партизанского МО</v>
      </c>
      <c r="AH144" s="9495"/>
      <c r="AI144" s="9495"/>
      <c r="AJ144" s="9495"/>
      <c r="AK144" s="9495"/>
      <c r="AL144" s="9495"/>
      <c r="AM144" s="9495"/>
      <c r="AN144" s="9495"/>
      <c r="AO144" s="9495"/>
      <c r="AP144" s="9495"/>
      <c r="AQ144" s="9495"/>
      <c r="AR144" s="9494"/>
      <c r="AS144" s="9495"/>
      <c r="AT144" s="9495"/>
      <c r="AU144" s="9495"/>
      <c r="AV144" s="9495"/>
      <c r="AW144" s="9495"/>
      <c r="AX144" s="9495"/>
      <c r="AY144" s="9495"/>
      <c r="AZ144" s="9495"/>
      <c r="BA144" s="9495"/>
      <c r="BB144" s="9496"/>
      <c r="BC144" s="9494"/>
      <c r="BD144" s="9495"/>
      <c r="BE144" s="9495"/>
      <c r="BF144" s="9495"/>
      <c r="BG144" s="9495"/>
      <c r="BH144" s="9495"/>
      <c r="BI144" s="9495"/>
      <c r="BJ144" s="9495"/>
      <c r="BK144" s="9495"/>
      <c r="BL144" s="9495"/>
      <c r="BM144" s="9496"/>
      <c r="BN144" s="9494"/>
      <c r="BO144" s="9495"/>
      <c r="BP144" s="9495"/>
      <c r="BQ144" s="9495"/>
      <c r="BR144" s="9495"/>
      <c r="BS144" s="9495"/>
      <c r="BT144" s="9495"/>
      <c r="BU144" s="9495"/>
      <c r="BV144" s="9495"/>
      <c r="BW144" s="9495"/>
      <c r="BX144" s="9496"/>
      <c r="BY144" s="9494"/>
      <c r="BZ144" s="9495"/>
      <c r="CA144" s="9495"/>
      <c r="CB144" s="9495"/>
      <c r="CC144" s="9495"/>
      <c r="CD144" s="9495"/>
      <c r="CE144" s="9495"/>
      <c r="CF144" s="9495"/>
      <c r="CG144" s="9495"/>
      <c r="CH144" s="9495"/>
      <c r="CI144" s="9496"/>
      <c r="CJ144" s="9494"/>
      <c r="CK144" s="9495"/>
      <c r="CL144" s="9495"/>
      <c r="CM144" s="9495"/>
      <c r="CN144" s="9495"/>
      <c r="CO144" s="9495"/>
      <c r="CP144" s="9495"/>
      <c r="CQ144" s="9495"/>
      <c r="CR144" s="9495"/>
      <c r="CS144" s="9495"/>
      <c r="CT144" s="10063"/>
      <c r="CU144" s="9494"/>
      <c r="CV144" s="9495"/>
      <c r="CW144" s="9495"/>
      <c r="CX144" s="9495"/>
      <c r="CY144" s="9495"/>
      <c r="CZ144" s="9495"/>
      <c r="DA144" s="9495"/>
      <c r="DB144" s="9495"/>
      <c r="DC144" s="9495"/>
      <c r="DD144" s="9495"/>
      <c r="DE144" s="9496"/>
      <c r="DF144" s="9494"/>
      <c r="DG144" s="9495"/>
      <c r="DH144" s="9495"/>
      <c r="DI144" s="9495"/>
      <c r="DJ144" s="9495"/>
      <c r="DK144" s="9495"/>
      <c r="DL144" s="9495"/>
      <c r="DM144" s="9495"/>
      <c r="DN144" s="9495"/>
      <c r="DO144" s="9495"/>
      <c r="DP144" s="9496"/>
      <c r="DQ144" s="9496"/>
      <c r="DR144" s="10064" t="s">
        <v>635</v>
      </c>
      <c r="DS144" s="9769"/>
      <c r="DT144" s="10065"/>
      <c r="DU144" s="10065" t="str">
        <f>IF(T144="","",T144)</f>
        <v>Наименование централизованной системы горячего водоснабжения</v>
      </c>
      <c r="DV144" s="10065"/>
      <c r="DW144" s="10065"/>
    </row>
    <row s="20407" customFormat="1" customHeight="1" ht="23.25">
      <c r="A145" s="10052"/>
      <c r="B145" s="10052"/>
      <c r="C145" s="10052"/>
      <c r="D145" s="10052"/>
      <c r="E145" s="10053"/>
      <c r="F145" s="10053" t="s">
        <v>136</v>
      </c>
      <c r="G145" s="10053"/>
      <c r="H145" s="10053"/>
      <c r="I145" s="10070" t="str">
        <f>S144&amp;".1"</f>
        <v>1.11.1.1</v>
      </c>
      <c r="J145" s="10052"/>
      <c r="K145" s="10052"/>
      <c r="L145" s="10055"/>
      <c r="M145" s="10071"/>
      <c r="N145" s="10071"/>
      <c r="O145" s="10071"/>
      <c r="P145" s="10072">
        <v>1</v>
      </c>
      <c r="Q145" s="10072"/>
      <c r="R145" s="10073"/>
      <c r="S145" s="10060" t="str">
        <f>$I145</f>
        <v>1.11.1.1</v>
      </c>
      <c r="T145" s="10074" t="s">
        <v>587</v>
      </c>
      <c r="U145" s="10062"/>
      <c r="V145" s="9500"/>
      <c r="W145" s="9501"/>
      <c r="X145" s="9501"/>
      <c r="Y145" s="9501"/>
      <c r="Z145" s="9501"/>
      <c r="AA145" s="9501"/>
      <c r="AB145" s="9501"/>
      <c r="AC145" s="9501"/>
      <c r="AD145" s="9501"/>
      <c r="AE145" s="9501"/>
      <c r="AF145" s="9502"/>
      <c r="AG145" s="10075"/>
      <c r="AH145" s="10076"/>
      <c r="AI145" s="10076"/>
      <c r="AJ145" s="10076"/>
      <c r="AK145" s="10076"/>
      <c r="AL145" s="10076"/>
      <c r="AM145" s="10076"/>
      <c r="AN145" s="10076"/>
      <c r="AO145" s="10076"/>
      <c r="AP145" s="10076"/>
      <c r="AQ145" s="10076"/>
      <c r="AR145" s="9500"/>
      <c r="AS145" s="9501"/>
      <c r="AT145" s="9501"/>
      <c r="AU145" s="9501"/>
      <c r="AV145" s="9501"/>
      <c r="AW145" s="9501"/>
      <c r="AX145" s="9501"/>
      <c r="AY145" s="9501"/>
      <c r="AZ145" s="9501"/>
      <c r="BA145" s="9501"/>
      <c r="BB145" s="9502"/>
      <c r="BC145" s="9500"/>
      <c r="BD145" s="9501"/>
      <c r="BE145" s="9501"/>
      <c r="BF145" s="9501"/>
      <c r="BG145" s="9501"/>
      <c r="BH145" s="9501"/>
      <c r="BI145" s="9501"/>
      <c r="BJ145" s="9501"/>
      <c r="BK145" s="9501"/>
      <c r="BL145" s="9501"/>
      <c r="BM145" s="9502"/>
      <c r="BN145" s="9500"/>
      <c r="BO145" s="9501"/>
      <c r="BP145" s="9501"/>
      <c r="BQ145" s="9501"/>
      <c r="BR145" s="9501"/>
      <c r="BS145" s="9501"/>
      <c r="BT145" s="9501"/>
      <c r="BU145" s="9501"/>
      <c r="BV145" s="9501"/>
      <c r="BW145" s="9501"/>
      <c r="BX145" s="9502"/>
      <c r="BY145" s="9500"/>
      <c r="BZ145" s="9501"/>
      <c r="CA145" s="9501"/>
      <c r="CB145" s="9501"/>
      <c r="CC145" s="9501"/>
      <c r="CD145" s="9501"/>
      <c r="CE145" s="9501"/>
      <c r="CF145" s="9501"/>
      <c r="CG145" s="9501"/>
      <c r="CH145" s="9501"/>
      <c r="CI145" s="9502"/>
      <c r="CJ145" s="9500"/>
      <c r="CK145" s="9501"/>
      <c r="CL145" s="9501"/>
      <c r="CM145" s="9501"/>
      <c r="CN145" s="9501"/>
      <c r="CO145" s="9501"/>
      <c r="CP145" s="9501"/>
      <c r="CQ145" s="9501"/>
      <c r="CR145" s="9501"/>
      <c r="CS145" s="9501"/>
      <c r="CT145" s="10077"/>
      <c r="CU145" s="9500"/>
      <c r="CV145" s="9501"/>
      <c r="CW145" s="9501"/>
      <c r="CX145" s="9501"/>
      <c r="CY145" s="9501"/>
      <c r="CZ145" s="9501"/>
      <c r="DA145" s="9501"/>
      <c r="DB145" s="9501"/>
      <c r="DC145" s="9501"/>
      <c r="DD145" s="9501"/>
      <c r="DE145" s="9502"/>
      <c r="DF145" s="9500"/>
      <c r="DG145" s="9501"/>
      <c r="DH145" s="9501"/>
      <c r="DI145" s="9501"/>
      <c r="DJ145" s="9501"/>
      <c r="DK145" s="9501"/>
      <c r="DL145" s="9501"/>
      <c r="DM145" s="9501"/>
      <c r="DN145" s="9501"/>
      <c r="DO145" s="9501"/>
      <c r="DP145" s="9502"/>
      <c r="DQ145" s="10078"/>
      <c r="DR145" s="10064" t="s">
        <v>588</v>
      </c>
      <c r="DS145" s="9769"/>
      <c r="DT145" s="10065"/>
      <c r="DU145" s="10065" t="str">
        <f>IF(T145="","",T145)</f>
        <v>Наименование признака дифференциации</v>
      </c>
      <c r="DV145" s="10065"/>
      <c r="DW145" s="10065"/>
    </row>
    <row s="20408" customFormat="1" customHeight="1" ht="23.25">
      <c r="A146" s="10052"/>
      <c r="B146" s="10052"/>
      <c r="C146" s="10052"/>
      <c r="D146" s="10052"/>
      <c r="E146" s="10053"/>
      <c r="F146" s="10053" t="s">
        <v>136</v>
      </c>
      <c r="G146" s="10053"/>
      <c r="H146" s="10053"/>
      <c r="I146" s="10080"/>
      <c r="J146" s="10070" t="str">
        <f>I145&amp;".1"</f>
        <v>1.11.1.1.1</v>
      </c>
      <c r="K146" s="10052"/>
      <c r="L146" s="10055" t="s">
        <v>512</v>
      </c>
      <c r="M146" s="10071"/>
      <c r="N146" s="10071"/>
      <c r="O146" s="10071"/>
      <c r="P146" s="10072"/>
      <c r="Q146" s="10072">
        <v>1</v>
      </c>
      <c r="R146" s="10081"/>
      <c r="S146" s="10060" t="str">
        <f>$J146</f>
        <v>1.11.1.1.1</v>
      </c>
      <c r="T146" s="10082" t="s">
        <v>513</v>
      </c>
      <c r="U146" s="10062"/>
      <c r="V146" s="9506"/>
      <c r="W146" s="9507"/>
      <c r="X146" s="9507"/>
      <c r="Y146" s="9507"/>
      <c r="Z146" s="9507"/>
      <c r="AA146" s="9507"/>
      <c r="AB146" s="9507"/>
      <c r="AC146" s="9507"/>
      <c r="AD146" s="9507"/>
      <c r="AE146" s="9507"/>
      <c r="AF146" s="9508"/>
      <c r="AG146" s="9506" t="s">
        <v>647</v>
      </c>
      <c r="AH146" s="9507"/>
      <c r="AI146" s="9507"/>
      <c r="AJ146" s="9507"/>
      <c r="AK146" s="9507"/>
      <c r="AL146" s="9507"/>
      <c r="AM146" s="9507"/>
      <c r="AN146" s="9507"/>
      <c r="AO146" s="9507"/>
      <c r="AP146" s="9507"/>
      <c r="AQ146" s="9507"/>
      <c r="AR146" s="9506"/>
      <c r="AS146" s="9507"/>
      <c r="AT146" s="9507"/>
      <c r="AU146" s="9507"/>
      <c r="AV146" s="9507"/>
      <c r="AW146" s="9507"/>
      <c r="AX146" s="9507"/>
      <c r="AY146" s="9507"/>
      <c r="AZ146" s="9507"/>
      <c r="BA146" s="9507"/>
      <c r="BB146" s="9508"/>
      <c r="BC146" s="9506"/>
      <c r="BD146" s="9507"/>
      <c r="BE146" s="9507"/>
      <c r="BF146" s="9507"/>
      <c r="BG146" s="9507"/>
      <c r="BH146" s="9507"/>
      <c r="BI146" s="9507"/>
      <c r="BJ146" s="9507"/>
      <c r="BK146" s="9507"/>
      <c r="BL146" s="9507"/>
      <c r="BM146" s="9508"/>
      <c r="BN146" s="9506"/>
      <c r="BO146" s="9507"/>
      <c r="BP146" s="9507"/>
      <c r="BQ146" s="9507"/>
      <c r="BR146" s="9507"/>
      <c r="BS146" s="9507"/>
      <c r="BT146" s="9507"/>
      <c r="BU146" s="9507"/>
      <c r="BV146" s="9507"/>
      <c r="BW146" s="9507"/>
      <c r="BX146" s="9508"/>
      <c r="BY146" s="9506"/>
      <c r="BZ146" s="9507"/>
      <c r="CA146" s="9507"/>
      <c r="CB146" s="9507"/>
      <c r="CC146" s="9507"/>
      <c r="CD146" s="9507"/>
      <c r="CE146" s="9507"/>
      <c r="CF146" s="9507"/>
      <c r="CG146" s="9507"/>
      <c r="CH146" s="9507"/>
      <c r="CI146" s="9508"/>
      <c r="CJ146" s="9506"/>
      <c r="CK146" s="9507"/>
      <c r="CL146" s="9507"/>
      <c r="CM146" s="9507"/>
      <c r="CN146" s="9507"/>
      <c r="CO146" s="9507"/>
      <c r="CP146" s="9507"/>
      <c r="CQ146" s="9507"/>
      <c r="CR146" s="9507"/>
      <c r="CS146" s="9507"/>
      <c r="CT146" s="10083"/>
      <c r="CU146" s="9506"/>
      <c r="CV146" s="9507"/>
      <c r="CW146" s="9507"/>
      <c r="CX146" s="9507"/>
      <c r="CY146" s="9507"/>
      <c r="CZ146" s="9507"/>
      <c r="DA146" s="9507"/>
      <c r="DB146" s="9507"/>
      <c r="DC146" s="9507"/>
      <c r="DD146" s="9507"/>
      <c r="DE146" s="9508"/>
      <c r="DF146" s="9506"/>
      <c r="DG146" s="9507"/>
      <c r="DH146" s="9507"/>
      <c r="DI146" s="9507"/>
      <c r="DJ146" s="9507"/>
      <c r="DK146" s="9507"/>
      <c r="DL146" s="9507"/>
      <c r="DM146" s="9507"/>
      <c r="DN146" s="9507"/>
      <c r="DO146" s="9507"/>
      <c r="DP146" s="9508"/>
      <c r="DQ146" s="9508"/>
      <c r="DR146" s="10084" t="s">
        <v>589</v>
      </c>
      <c r="DS146" s="9769"/>
      <c r="DT146" s="10065"/>
      <c r="DU146" s="10065" t="str">
        <f>IF(T146="","",T146)</f>
        <v>Группа потребителей</v>
      </c>
      <c r="DV146" s="10065"/>
      <c r="DW146" s="10065"/>
    </row>
    <row s="20409" customFormat="1" customHeight="1" ht="23.25">
      <c r="A147" s="10052"/>
      <c r="B147" s="10052"/>
      <c r="C147" s="10052"/>
      <c r="D147" s="10052"/>
      <c r="E147" s="10053"/>
      <c r="F147" s="10053" t="s">
        <v>136</v>
      </c>
      <c r="G147" s="10053"/>
      <c r="H147" s="10053"/>
      <c r="I147" s="10080"/>
      <c r="J147" s="10080"/>
      <c r="K147" s="10070" t="str">
        <f>J146&amp;".1"</f>
        <v>1.11.1.1.1.1</v>
      </c>
      <c r="L147" s="10055"/>
      <c r="M147" s="10071"/>
      <c r="N147" s="10071"/>
      <c r="O147" s="10071"/>
      <c r="P147" s="10072"/>
      <c r="Q147" s="10072"/>
      <c r="R147" s="10081">
        <v>1</v>
      </c>
      <c r="S147" s="10060" t="str">
        <f>$K147</f>
        <v>1.11.1.1.1.1</v>
      </c>
      <c r="T147" s="10086"/>
      <c r="U147" s="10062"/>
      <c r="V147" s="9512"/>
      <c r="W147" s="9512"/>
      <c r="X147" s="9512"/>
      <c r="Y147" s="9512"/>
      <c r="Z147" s="9512"/>
      <c r="AA147" s="9512"/>
      <c r="AB147" s="9512"/>
      <c r="AC147" s="9513"/>
      <c r="AD147" s="9514" t="s">
        <v>63</v>
      </c>
      <c r="AE147" s="9513"/>
      <c r="AF147" s="9514" t="s">
        <v>63</v>
      </c>
      <c r="AG147" s="9512">
        <v>384.56</v>
      </c>
      <c r="AH147" s="9512"/>
      <c r="AI147" s="9512"/>
      <c r="AJ147" s="9512"/>
      <c r="AK147" s="9512"/>
      <c r="AL147" s="9512"/>
      <c r="AM147" s="9512"/>
      <c r="AN147" s="9513">
        <v>45658.62296296296</v>
      </c>
      <c r="AO147" s="9514" t="s">
        <v>63</v>
      </c>
      <c r="AP147" s="9817">
        <v>45838.623078703706</v>
      </c>
      <c r="AQ147" s="9514" t="s">
        <v>63</v>
      </c>
      <c r="AR147" s="9512">
        <v>581.56</v>
      </c>
      <c r="AS147" s="9512"/>
      <c r="AT147" s="9512"/>
      <c r="AU147" s="9512"/>
      <c r="AV147" s="9512"/>
      <c r="AW147" s="9512"/>
      <c r="AX147" s="9512"/>
      <c r="AY147" s="9513">
        <v>45839.62321759259</v>
      </c>
      <c r="AZ147" s="9514" t="s">
        <v>63</v>
      </c>
      <c r="BA147" s="9513">
        <v>46022.62333333334</v>
      </c>
      <c r="BB147" s="9514" t="s">
        <v>63</v>
      </c>
      <c r="BC147" s="9512">
        <v>581.56</v>
      </c>
      <c r="BD147" s="9512"/>
      <c r="BE147" s="9512"/>
      <c r="BF147" s="9512"/>
      <c r="BG147" s="9512"/>
      <c r="BH147" s="9512"/>
      <c r="BI147" s="9512"/>
      <c r="BJ147" s="9513">
        <v>46023.63858796296</v>
      </c>
      <c r="BK147" s="9514" t="s">
        <v>63</v>
      </c>
      <c r="BL147" s="9513">
        <v>46203.63869212963</v>
      </c>
      <c r="BM147" s="9514" t="s">
        <v>63</v>
      </c>
      <c r="BN147" s="9512">
        <v>604.82</v>
      </c>
      <c r="BO147" s="9512"/>
      <c r="BP147" s="9512"/>
      <c r="BQ147" s="9512"/>
      <c r="BR147" s="9512"/>
      <c r="BS147" s="9512"/>
      <c r="BT147" s="9512"/>
      <c r="BU147" s="9513">
        <v>46204.63880787037</v>
      </c>
      <c r="BV147" s="9514" t="s">
        <v>63</v>
      </c>
      <c r="BW147" s="9513">
        <v>46387.63893518518</v>
      </c>
      <c r="BX147" s="9514" t="s">
        <v>63</v>
      </c>
      <c r="BY147" s="9512">
        <v>604.82</v>
      </c>
      <c r="BZ147" s="9512"/>
      <c r="CA147" s="9512"/>
      <c r="CB147" s="9512"/>
      <c r="CC147" s="9512"/>
      <c r="CD147" s="9512"/>
      <c r="CE147" s="9512"/>
      <c r="CF147" s="9513">
        <v>46388.64234953704</v>
      </c>
      <c r="CG147" s="9514" t="s">
        <v>63</v>
      </c>
      <c r="CH147" s="9513">
        <v>46568.64267361111</v>
      </c>
      <c r="CI147" s="9514" t="s">
        <v>63</v>
      </c>
      <c r="CJ147" s="9512">
        <v>629.02</v>
      </c>
      <c r="CK147" s="9512"/>
      <c r="CL147" s="9512"/>
      <c r="CM147" s="9512"/>
      <c r="CN147" s="9512"/>
      <c r="CO147" s="9512"/>
      <c r="CP147" s="9512"/>
      <c r="CQ147" s="9513">
        <v>46569.64543981481</v>
      </c>
      <c r="CR147" s="9514" t="s">
        <v>63</v>
      </c>
      <c r="CS147" s="9513">
        <v>46752.6456712963</v>
      </c>
      <c r="CT147" s="10087" t="s">
        <v>63</v>
      </c>
      <c r="CU147" s="9512">
        <v>629.02</v>
      </c>
      <c r="CV147" s="9512"/>
      <c r="CW147" s="9512"/>
      <c r="CX147" s="9512"/>
      <c r="CY147" s="9512"/>
      <c r="CZ147" s="9512"/>
      <c r="DA147" s="9512"/>
      <c r="DB147" s="9513">
        <v>46753.649097222224</v>
      </c>
      <c r="DC147" s="9514" t="s">
        <v>63</v>
      </c>
      <c r="DD147" s="9513">
        <v>46934.649247685185</v>
      </c>
      <c r="DE147" s="9514" t="s">
        <v>63</v>
      </c>
      <c r="DF147" s="9512">
        <v>654.17</v>
      </c>
      <c r="DG147" s="9512"/>
      <c r="DH147" s="9512"/>
      <c r="DI147" s="9512"/>
      <c r="DJ147" s="9512"/>
      <c r="DK147" s="9512"/>
      <c r="DL147" s="9512"/>
      <c r="DM147" s="9513">
        <v>46935.662766203706</v>
      </c>
      <c r="DN147" s="9514" t="s">
        <v>63</v>
      </c>
      <c r="DO147" s="9513">
        <v>47118.66289351852</v>
      </c>
      <c r="DP147" s="9514" t="s">
        <v>63</v>
      </c>
      <c r="DQ147" s="10088"/>
      <c r="DR147" s="100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S147" s="9769">
        <f>STRCHECKDATE(V148:DQ148)</f>
      </c>
      <c r="DT147" s="10065"/>
      <c r="DU147" s="10065" t="str">
        <f>IF(T147="","",T147)</f>
        <v/>
      </c>
      <c r="DV147" s="10065"/>
      <c r="DW147" s="10065"/>
    </row>
    <row s="20410" customFormat="1" customHeight="1" ht="14.25">
      <c r="A148" s="10052"/>
      <c r="B148" s="10052"/>
      <c r="C148" s="10052"/>
      <c r="D148" s="10052"/>
      <c r="E148" s="10053"/>
      <c r="F148" s="10053" t="s">
        <v>136</v>
      </c>
      <c r="G148" s="10053"/>
      <c r="H148" s="10053"/>
      <c r="I148" s="10080"/>
      <c r="J148" s="10080"/>
      <c r="K148" s="10070"/>
      <c r="L148" s="10055"/>
      <c r="M148" s="10071"/>
      <c r="N148" s="10071"/>
      <c r="O148" s="10071"/>
      <c r="P148" s="10072"/>
      <c r="Q148" s="10072"/>
      <c r="R148" s="10081"/>
      <c r="S148" s="10091"/>
      <c r="T148" s="10062"/>
      <c r="U148" s="10062"/>
      <c r="V148" s="9517"/>
      <c r="W148" s="9517"/>
      <c r="X148" s="9517"/>
      <c r="Y148" s="9517"/>
      <c r="Z148" s="9517"/>
      <c r="AA148" s="9517"/>
      <c r="AB148" s="9517"/>
      <c r="AC148" s="9518"/>
      <c r="AD148" s="9514"/>
      <c r="AE148" s="9518"/>
      <c r="AF148" s="9514"/>
      <c r="AG148" s="9517"/>
      <c r="AH148" s="9517"/>
      <c r="AI148" s="9517"/>
      <c r="AJ148" s="9517"/>
      <c r="AK148" s="9517"/>
      <c r="AL148" s="9517"/>
      <c r="AM148" s="9517"/>
      <c r="AN148" s="9518"/>
      <c r="AO148" s="9514"/>
      <c r="AP148" s="9819"/>
      <c r="AQ148" s="9514"/>
      <c r="AR148" s="9517"/>
      <c r="AS148" s="9517"/>
      <c r="AT148" s="9517"/>
      <c r="AU148" s="9517"/>
      <c r="AV148" s="9517"/>
      <c r="AW148" s="9517"/>
      <c r="AX148" s="9517"/>
      <c r="AY148" s="9518"/>
      <c r="AZ148" s="9514"/>
      <c r="BA148" s="9518"/>
      <c r="BB148" s="9514"/>
      <c r="BC148" s="9517"/>
      <c r="BD148" s="9517"/>
      <c r="BE148" s="9517"/>
      <c r="BF148" s="9517"/>
      <c r="BG148" s="9517"/>
      <c r="BH148" s="9517"/>
      <c r="BI148" s="9517"/>
      <c r="BJ148" s="9518"/>
      <c r="BK148" s="9514"/>
      <c r="BL148" s="9518"/>
      <c r="BM148" s="9514"/>
      <c r="BN148" s="9517"/>
      <c r="BO148" s="9517"/>
      <c r="BP148" s="9517"/>
      <c r="BQ148" s="9517"/>
      <c r="BR148" s="9517"/>
      <c r="BS148" s="9517"/>
      <c r="BT148" s="9517"/>
      <c r="BU148" s="9518"/>
      <c r="BV148" s="9514"/>
      <c r="BW148" s="9518"/>
      <c r="BX148" s="9514"/>
      <c r="BY148" s="9517"/>
      <c r="BZ148" s="9517"/>
      <c r="CA148" s="9517"/>
      <c r="CB148" s="9517"/>
      <c r="CC148" s="9517"/>
      <c r="CD148" s="9517"/>
      <c r="CE148" s="9517"/>
      <c r="CF148" s="9518"/>
      <c r="CG148" s="9514"/>
      <c r="CH148" s="9518"/>
      <c r="CI148" s="9514"/>
      <c r="CJ148" s="9517"/>
      <c r="CK148" s="9517"/>
      <c r="CL148" s="9517"/>
      <c r="CM148" s="9517"/>
      <c r="CN148" s="9517"/>
      <c r="CO148" s="9517"/>
      <c r="CP148" s="9517"/>
      <c r="CQ148" s="9518"/>
      <c r="CR148" s="9514"/>
      <c r="CS148" s="9518"/>
      <c r="CT148" s="10087"/>
      <c r="CU148" s="9517"/>
      <c r="CV148" s="9517"/>
      <c r="CW148" s="9517"/>
      <c r="CX148" s="9517"/>
      <c r="CY148" s="9517"/>
      <c r="CZ148" s="9517"/>
      <c r="DA148" s="9517"/>
      <c r="DB148" s="9518"/>
      <c r="DC148" s="9514"/>
      <c r="DD148" s="9518"/>
      <c r="DE148" s="9514"/>
      <c r="DF148" s="9517"/>
      <c r="DG148" s="9517"/>
      <c r="DH148" s="9517"/>
      <c r="DI148" s="9517"/>
      <c r="DJ148" s="9517"/>
      <c r="DK148" s="9517"/>
      <c r="DL148" s="9517"/>
      <c r="DM148" s="9518"/>
      <c r="DN148" s="9514"/>
      <c r="DO148" s="9518"/>
      <c r="DP148" s="9514"/>
      <c r="DQ148" s="10092"/>
      <c r="DR148" s="10089"/>
      <c r="DS148" s="9769"/>
      <c r="DT148" s="10065"/>
      <c r="DU148" s="10065" t="str">
        <f>IF(T148="","",T148)</f>
        <v/>
      </c>
      <c r="DV148" s="10065"/>
      <c r="DW148" s="10065"/>
    </row>
    <row s="20411" customFormat="1" customHeight="1" ht="21">
      <c r="A149" s="10052"/>
      <c r="B149" s="10052"/>
      <c r="C149" s="10052"/>
      <c r="D149" s="10052"/>
      <c r="E149" s="10053"/>
      <c r="F149" s="10053" t="s">
        <v>136</v>
      </c>
      <c r="G149" s="10053"/>
      <c r="H149" s="10053"/>
      <c r="I149" s="10080"/>
      <c r="J149" s="10070"/>
      <c r="K149" s="10052"/>
      <c r="L149" s="10055"/>
      <c r="M149" s="10071"/>
      <c r="N149" s="10071"/>
      <c r="O149" s="10071"/>
      <c r="P149" s="10072"/>
      <c r="Q149" s="10072"/>
      <c r="R149" s="10073"/>
      <c r="S149" s="12994"/>
      <c r="T149" s="12995" t="s">
        <v>590</v>
      </c>
      <c r="U149" s="12996"/>
      <c r="V149" s="12997"/>
      <c r="W149" s="12998"/>
      <c r="X149" s="12999"/>
      <c r="Y149" s="13000"/>
      <c r="Z149" s="13001"/>
      <c r="AA149" s="13002"/>
      <c r="AB149" s="13003"/>
      <c r="AC149" s="13004"/>
      <c r="AD149" s="13005"/>
      <c r="AE149" s="13006"/>
      <c r="AF149" s="13007"/>
      <c r="AG149" s="13008"/>
      <c r="AH149" s="13009"/>
      <c r="AI149" s="13010"/>
      <c r="AJ149" s="13011"/>
      <c r="AK149" s="13012"/>
      <c r="AL149" s="13013"/>
      <c r="AM149" s="13014"/>
      <c r="AN149" s="13015"/>
      <c r="AO149" s="13016"/>
      <c r="AP149" s="13017"/>
      <c r="AQ149" s="13018"/>
      <c r="AR149" s="13019"/>
      <c r="AS149" s="13020"/>
      <c r="AT149" s="13021"/>
      <c r="AU149" s="13022"/>
      <c r="AV149" s="13023"/>
      <c r="AW149" s="13024"/>
      <c r="AX149" s="13025"/>
      <c r="AY149" s="13026"/>
      <c r="AZ149" s="13027"/>
      <c r="BA149" s="13028"/>
      <c r="BB149" s="13029"/>
      <c r="BC149" s="13030"/>
      <c r="BD149" s="13031"/>
      <c r="BE149" s="13032"/>
      <c r="BF149" s="13033"/>
      <c r="BG149" s="13034"/>
      <c r="BH149" s="13035"/>
      <c r="BI149" s="13036"/>
      <c r="BJ149" s="13037"/>
      <c r="BK149" s="13038"/>
      <c r="BL149" s="13039"/>
      <c r="BM149" s="13040"/>
      <c r="BN149" s="13041"/>
      <c r="BO149" s="13042"/>
      <c r="BP149" s="13043"/>
      <c r="BQ149" s="13044"/>
      <c r="BR149" s="13045"/>
      <c r="BS149" s="13046"/>
      <c r="BT149" s="13047"/>
      <c r="BU149" s="13048"/>
      <c r="BV149" s="13049"/>
      <c r="BW149" s="13050"/>
      <c r="BX149" s="13051"/>
      <c r="BY149" s="13052"/>
      <c r="BZ149" s="13053"/>
      <c r="CA149" s="13054"/>
      <c r="CB149" s="13055"/>
      <c r="CC149" s="13056"/>
      <c r="CD149" s="13057"/>
      <c r="CE149" s="13058"/>
      <c r="CF149" s="13059"/>
      <c r="CG149" s="13060"/>
      <c r="CH149" s="13061"/>
      <c r="CI149" s="13062"/>
      <c r="CJ149" s="13063"/>
      <c r="CK149" s="13064"/>
      <c r="CL149" s="13065"/>
      <c r="CM149" s="13066"/>
      <c r="CN149" s="13067"/>
      <c r="CO149" s="13068"/>
      <c r="CP149" s="13069"/>
      <c r="CQ149" s="13070"/>
      <c r="CR149" s="13071"/>
      <c r="CS149" s="13072"/>
      <c r="CT149" s="13073"/>
      <c r="CU149" s="13074"/>
      <c r="CV149" s="13075"/>
      <c r="CW149" s="13076"/>
      <c r="CX149" s="13077"/>
      <c r="CY149" s="13078"/>
      <c r="CZ149" s="13079"/>
      <c r="DA149" s="13080"/>
      <c r="DB149" s="13081"/>
      <c r="DC149" s="13082"/>
      <c r="DD149" s="13083"/>
      <c r="DE149" s="13084"/>
      <c r="DF149" s="13085"/>
      <c r="DG149" s="13086"/>
      <c r="DH149" s="13087"/>
      <c r="DI149" s="13088"/>
      <c r="DJ149" s="13089"/>
      <c r="DK149" s="13090"/>
      <c r="DL149" s="13091"/>
      <c r="DM149" s="13092"/>
      <c r="DN149" s="13093"/>
      <c r="DO149" s="13094"/>
      <c r="DP149" s="13095"/>
      <c r="DQ149" s="13096"/>
      <c r="DR149" s="10064" t="s">
        <v>591</v>
      </c>
      <c r="DS149" s="9769"/>
      <c r="DT149" s="10065"/>
      <c r="DU149" s="10065" t="str">
        <f>IF(T149="","",T149)</f>
        <v>Добавить значение признака дифференциации</v>
      </c>
      <c r="DV149" s="10065"/>
      <c r="DW149" s="10065"/>
    </row>
    <row s="20515" customFormat="1" customHeight="1" ht="21">
      <c r="A150" s="10052"/>
      <c r="B150" s="10052"/>
      <c r="C150" s="10052"/>
      <c r="D150" s="10052"/>
      <c r="E150" s="10053"/>
      <c r="F150" s="10053" t="s">
        <v>136</v>
      </c>
      <c r="G150" s="10053"/>
      <c r="H150" s="10053"/>
      <c r="I150" s="10070"/>
      <c r="J150" s="10052"/>
      <c r="K150" s="10052"/>
      <c r="L150" s="10055"/>
      <c r="M150" s="10071"/>
      <c r="N150" s="10071"/>
      <c r="O150" s="10071"/>
      <c r="P150" s="10072"/>
      <c r="Q150" s="10072"/>
      <c r="R150" s="10073"/>
      <c r="S150" s="13098"/>
      <c r="T150" s="13099" t="s">
        <v>518</v>
      </c>
      <c r="U150" s="13100"/>
      <c r="V150" s="13101"/>
      <c r="W150" s="13102"/>
      <c r="X150" s="13103"/>
      <c r="Y150" s="13104"/>
      <c r="Z150" s="13105"/>
      <c r="AA150" s="13106"/>
      <c r="AB150" s="13107"/>
      <c r="AC150" s="13108"/>
      <c r="AD150" s="13109"/>
      <c r="AE150" s="13110"/>
      <c r="AF150" s="13111"/>
      <c r="AG150" s="13112"/>
      <c r="AH150" s="13113"/>
      <c r="AI150" s="13114"/>
      <c r="AJ150" s="13115"/>
      <c r="AK150" s="13116"/>
      <c r="AL150" s="13117"/>
      <c r="AM150" s="13118"/>
      <c r="AN150" s="13119"/>
      <c r="AO150" s="13120"/>
      <c r="AP150" s="13121"/>
      <c r="AQ150" s="13122"/>
      <c r="AR150" s="13123"/>
      <c r="AS150" s="13124"/>
      <c r="AT150" s="13125"/>
      <c r="AU150" s="13126"/>
      <c r="AV150" s="13127"/>
      <c r="AW150" s="13128"/>
      <c r="AX150" s="13129"/>
      <c r="AY150" s="13130"/>
      <c r="AZ150" s="13131"/>
      <c r="BA150" s="13132"/>
      <c r="BB150" s="13133"/>
      <c r="BC150" s="13134"/>
      <c r="BD150" s="13135"/>
      <c r="BE150" s="13136"/>
      <c r="BF150" s="13137"/>
      <c r="BG150" s="13138"/>
      <c r="BH150" s="13139"/>
      <c r="BI150" s="13140"/>
      <c r="BJ150" s="13141"/>
      <c r="BK150" s="13142"/>
      <c r="BL150" s="13143"/>
      <c r="BM150" s="13144"/>
      <c r="BN150" s="13145"/>
      <c r="BO150" s="13146"/>
      <c r="BP150" s="13147"/>
      <c r="BQ150" s="13148"/>
      <c r="BR150" s="13149"/>
      <c r="BS150" s="13150"/>
      <c r="BT150" s="13151"/>
      <c r="BU150" s="13152"/>
      <c r="BV150" s="13153"/>
      <c r="BW150" s="13154"/>
      <c r="BX150" s="13155"/>
      <c r="BY150" s="13156"/>
      <c r="BZ150" s="13157"/>
      <c r="CA150" s="13158"/>
      <c r="CB150" s="13159"/>
      <c r="CC150" s="13160"/>
      <c r="CD150" s="13161"/>
      <c r="CE150" s="13162"/>
      <c r="CF150" s="13163"/>
      <c r="CG150" s="13164"/>
      <c r="CH150" s="13165"/>
      <c r="CI150" s="13166"/>
      <c r="CJ150" s="13167"/>
      <c r="CK150" s="13168"/>
      <c r="CL150" s="13169"/>
      <c r="CM150" s="13170"/>
      <c r="CN150" s="13171"/>
      <c r="CO150" s="13172"/>
      <c r="CP150" s="13173"/>
      <c r="CQ150" s="13174"/>
      <c r="CR150" s="13175"/>
      <c r="CS150" s="13176"/>
      <c r="CT150" s="13177"/>
      <c r="CU150" s="13178"/>
      <c r="CV150" s="13179"/>
      <c r="CW150" s="13180"/>
      <c r="CX150" s="13181"/>
      <c r="CY150" s="13182"/>
      <c r="CZ150" s="13183"/>
      <c r="DA150" s="13184"/>
      <c r="DB150" s="13185"/>
      <c r="DC150" s="13186"/>
      <c r="DD150" s="13187"/>
      <c r="DE150" s="13188"/>
      <c r="DF150" s="13189"/>
      <c r="DG150" s="13190"/>
      <c r="DH150" s="13191"/>
      <c r="DI150" s="13192"/>
      <c r="DJ150" s="13193"/>
      <c r="DK150" s="13194"/>
      <c r="DL150" s="13195"/>
      <c r="DM150" s="13196"/>
      <c r="DN150" s="13197"/>
      <c r="DO150" s="13198"/>
      <c r="DP150" s="13199"/>
      <c r="DQ150" s="13200"/>
      <c r="DR150" s="13201"/>
      <c r="DS150" s="9769"/>
      <c r="DT150" s="10065"/>
      <c r="DU150" s="10065" t="str">
        <f>IF(T150="","",T150)</f>
        <v>Добавить группу потребителей</v>
      </c>
      <c r="DV150" s="10065"/>
      <c r="DW150" s="10065"/>
    </row>
    <row s="20620" customFormat="1" customHeight="1" ht="21">
      <c r="A151" s="10052"/>
      <c r="B151" s="10052"/>
      <c r="C151" s="10052"/>
      <c r="D151" s="10052"/>
      <c r="E151" s="10053"/>
      <c r="F151" s="10053" t="s">
        <v>136</v>
      </c>
      <c r="G151" s="10053"/>
      <c r="H151" s="10054"/>
      <c r="I151" s="10052"/>
      <c r="J151" s="10052"/>
      <c r="K151" s="10052"/>
      <c r="L151" s="10055"/>
      <c r="M151" s="10056"/>
      <c r="N151" s="10056"/>
      <c r="O151" s="9754"/>
      <c r="P151" s="10303"/>
      <c r="Q151" s="10304"/>
      <c r="R151" s="10305"/>
      <c r="S151" s="13203"/>
      <c r="T151" s="13204" t="s">
        <v>592</v>
      </c>
      <c r="U151" s="13205"/>
      <c r="V151" s="13206"/>
      <c r="W151" s="13207"/>
      <c r="X151" s="13208"/>
      <c r="Y151" s="13209"/>
      <c r="Z151" s="13210"/>
      <c r="AA151" s="13211"/>
      <c r="AB151" s="13212"/>
      <c r="AC151" s="13213"/>
      <c r="AD151" s="13214"/>
      <c r="AE151" s="13215"/>
      <c r="AF151" s="13216"/>
      <c r="AG151" s="13217"/>
      <c r="AH151" s="13218"/>
      <c r="AI151" s="13219"/>
      <c r="AJ151" s="13220"/>
      <c r="AK151" s="13221"/>
      <c r="AL151" s="13222"/>
      <c r="AM151" s="13223"/>
      <c r="AN151" s="13224"/>
      <c r="AO151" s="13225"/>
      <c r="AP151" s="13226"/>
      <c r="AQ151" s="13227"/>
      <c r="AR151" s="13228"/>
      <c r="AS151" s="13229"/>
      <c r="AT151" s="13230"/>
      <c r="AU151" s="13231"/>
      <c r="AV151" s="13232"/>
      <c r="AW151" s="13233"/>
      <c r="AX151" s="13234"/>
      <c r="AY151" s="13235"/>
      <c r="AZ151" s="13236"/>
      <c r="BA151" s="13237"/>
      <c r="BB151" s="13238"/>
      <c r="BC151" s="13239"/>
      <c r="BD151" s="13240"/>
      <c r="BE151" s="13241"/>
      <c r="BF151" s="13242"/>
      <c r="BG151" s="13243"/>
      <c r="BH151" s="13244"/>
      <c r="BI151" s="13245"/>
      <c r="BJ151" s="13246"/>
      <c r="BK151" s="13247"/>
      <c r="BL151" s="13248"/>
      <c r="BM151" s="13249"/>
      <c r="BN151" s="13250"/>
      <c r="BO151" s="13251"/>
      <c r="BP151" s="13252"/>
      <c r="BQ151" s="13253"/>
      <c r="BR151" s="13254"/>
      <c r="BS151" s="13255"/>
      <c r="BT151" s="13256"/>
      <c r="BU151" s="13257"/>
      <c r="BV151" s="13258"/>
      <c r="BW151" s="13259"/>
      <c r="BX151" s="13260"/>
      <c r="BY151" s="13261"/>
      <c r="BZ151" s="13262"/>
      <c r="CA151" s="13263"/>
      <c r="CB151" s="13264"/>
      <c r="CC151" s="13265"/>
      <c r="CD151" s="13266"/>
      <c r="CE151" s="13267"/>
      <c r="CF151" s="13268"/>
      <c r="CG151" s="13269"/>
      <c r="CH151" s="13270"/>
      <c r="CI151" s="13271"/>
      <c r="CJ151" s="13272"/>
      <c r="CK151" s="13273"/>
      <c r="CL151" s="13274"/>
      <c r="CM151" s="13275"/>
      <c r="CN151" s="13276"/>
      <c r="CO151" s="13277"/>
      <c r="CP151" s="13278"/>
      <c r="CQ151" s="13279"/>
      <c r="CR151" s="13280"/>
      <c r="CS151" s="13281"/>
      <c r="CT151" s="13282"/>
      <c r="CU151" s="13283"/>
      <c r="CV151" s="13284"/>
      <c r="CW151" s="13285"/>
      <c r="CX151" s="13286"/>
      <c r="CY151" s="13287"/>
      <c r="CZ151" s="13288"/>
      <c r="DA151" s="13289"/>
      <c r="DB151" s="13290"/>
      <c r="DC151" s="13291"/>
      <c r="DD151" s="13292"/>
      <c r="DE151" s="13293"/>
      <c r="DF151" s="13294"/>
      <c r="DG151" s="13295"/>
      <c r="DH151" s="13296"/>
      <c r="DI151" s="13297"/>
      <c r="DJ151" s="13298"/>
      <c r="DK151" s="13299"/>
      <c r="DL151" s="13300"/>
      <c r="DM151" s="13301"/>
      <c r="DN151" s="13302"/>
      <c r="DO151" s="13303"/>
      <c r="DP151" s="13304"/>
      <c r="DQ151" s="13305"/>
      <c r="DR151" s="13306"/>
      <c r="DS151" s="9769"/>
      <c r="DT151" s="10065"/>
      <c r="DU151" s="10065" t="str">
        <f>IF(T151="","",T151)</f>
        <v>Добавить наименование признака дифференциации</v>
      </c>
      <c r="DV151" s="10065"/>
      <c r="DW151" s="10065"/>
    </row>
    <row s="20725" customFormat="1" customHeight="1" ht="14.25">
      <c r="A152" s="10411"/>
      <c r="B152" s="10411"/>
      <c r="C152" s="10411"/>
      <c r="D152" s="10411"/>
      <c r="E152" s="10053"/>
      <c r="F152" s="10054" t="s">
        <v>136</v>
      </c>
      <c r="G152" s="10411"/>
      <c r="H152" s="10411"/>
      <c r="I152" s="10411"/>
      <c r="J152" s="10411"/>
      <c r="K152" s="10411"/>
      <c r="L152" s="10412"/>
      <c r="M152" s="10413"/>
      <c r="N152" s="10413"/>
      <c r="O152" s="9769"/>
      <c r="P152" s="10414"/>
      <c r="Q152" s="10415"/>
      <c r="R152" s="10414"/>
      <c r="S152" s="10416"/>
      <c r="T152" s="10417" t="s">
        <v>305</v>
      </c>
      <c r="U152" s="9751"/>
      <c r="V152" s="9751"/>
      <c r="W152" s="9751"/>
      <c r="X152" s="9751"/>
      <c r="Y152" s="9751"/>
      <c r="Z152" s="9751"/>
      <c r="AA152" s="9751"/>
      <c r="AB152" s="9751"/>
      <c r="AC152" s="9751"/>
      <c r="AD152" s="9751"/>
      <c r="AE152" s="9751"/>
      <c r="AF152" s="9751"/>
      <c r="AG152" s="9751"/>
      <c r="AH152" s="9751"/>
      <c r="AI152" s="9751"/>
      <c r="AJ152" s="9751"/>
      <c r="AK152" s="9751"/>
      <c r="AL152" s="9751"/>
      <c r="AM152" s="9751"/>
      <c r="AN152" s="9751"/>
      <c r="AO152" s="9751"/>
      <c r="AP152" s="9751"/>
      <c r="AQ152" s="9751"/>
      <c r="AR152" s="9751"/>
      <c r="AS152" s="9751"/>
      <c r="AT152" s="9751"/>
      <c r="AU152" s="9751"/>
      <c r="AV152" s="9751"/>
      <c r="AW152" s="9751"/>
      <c r="AX152" s="9751"/>
      <c r="AY152" s="9751"/>
      <c r="AZ152" s="9751"/>
      <c r="BA152" s="9751"/>
      <c r="BB152" s="9751"/>
      <c r="BC152" s="9751"/>
      <c r="BD152" s="9751"/>
      <c r="BE152" s="9751"/>
      <c r="BF152" s="9751"/>
      <c r="BG152" s="9751"/>
      <c r="BH152" s="9751"/>
      <c r="BI152" s="9751"/>
      <c r="BJ152" s="9751"/>
      <c r="BK152" s="9751"/>
      <c r="BL152" s="9751"/>
      <c r="BM152" s="9751"/>
      <c r="BN152" s="9751"/>
      <c r="BO152" s="9751"/>
      <c r="BP152" s="9751"/>
      <c r="BQ152" s="9751"/>
      <c r="BR152" s="9751"/>
      <c r="BS152" s="9751"/>
      <c r="BT152" s="9751"/>
      <c r="BU152" s="9751"/>
      <c r="BV152" s="9751"/>
      <c r="BW152" s="9751"/>
      <c r="BX152" s="9751"/>
      <c r="BY152" s="9751"/>
      <c r="BZ152" s="9751"/>
      <c r="CA152" s="9751"/>
      <c r="CB152" s="9751"/>
      <c r="CC152" s="9751"/>
      <c r="CD152" s="9751"/>
      <c r="CE152" s="9751"/>
      <c r="CF152" s="9751"/>
      <c r="CG152" s="9751"/>
      <c r="CH152" s="9751"/>
      <c r="CI152" s="9751"/>
      <c r="CJ152" s="9751"/>
      <c r="CK152" s="9751"/>
      <c r="CL152" s="9751"/>
      <c r="CM152" s="9751"/>
      <c r="CN152" s="9751"/>
      <c r="CO152" s="9751"/>
      <c r="CP152" s="9751"/>
      <c r="CQ152" s="9751"/>
      <c r="CR152" s="9751"/>
      <c r="CS152" s="9751"/>
      <c r="CT152" s="10418"/>
      <c r="CU152" s="9751"/>
      <c r="CV152" s="9751"/>
      <c r="CW152" s="9751"/>
      <c r="CX152" s="9751"/>
      <c r="CY152" s="9751"/>
      <c r="CZ152" s="9751"/>
      <c r="DA152" s="9751"/>
      <c r="DB152" s="9751"/>
      <c r="DC152" s="9751"/>
      <c r="DD152" s="9751"/>
      <c r="DE152" s="9751"/>
      <c r="DF152" s="9751"/>
      <c r="DG152" s="9751"/>
      <c r="DH152" s="9751"/>
      <c r="DI152" s="9751"/>
      <c r="DJ152" s="9751"/>
      <c r="DK152" s="9751"/>
      <c r="DL152" s="9751"/>
      <c r="DM152" s="9751"/>
      <c r="DN152" s="9751"/>
      <c r="DO152" s="9751"/>
      <c r="DP152" s="9751"/>
      <c r="DQ152" s="9751"/>
      <c r="DR152" s="9751"/>
      <c r="DS152" s="9769"/>
      <c r="DT152" s="10065"/>
      <c r="DU152" s="10065" t="str">
        <f>IF(T152="","",T152)</f>
        <v>Добавить централизованную систему для дифференциации</v>
      </c>
      <c r="DV152" s="10065"/>
      <c r="DW152" s="10065"/>
    </row>
    <row s="20726" customFormat="1" customHeight="1" ht="23.25">
      <c r="A153" s="10052"/>
      <c r="B153" s="10052" t="s">
        <v>347</v>
      </c>
      <c r="C153" s="10052"/>
      <c r="D153" s="10052"/>
      <c r="E153" s="10053"/>
      <c r="F153" s="10054" t="s">
        <v>147</v>
      </c>
      <c r="G153" s="10052"/>
      <c r="H153" s="10052"/>
      <c r="I153" s="10052"/>
      <c r="J153" s="10052"/>
      <c r="K153" s="10052"/>
      <c r="L153" s="10055"/>
      <c r="M153" s="10056"/>
      <c r="N153" s="10056"/>
      <c r="O153" s="10056"/>
      <c r="P153" s="10057"/>
      <c r="Q153" s="10058"/>
      <c r="R153" s="10059"/>
      <c r="S153" s="10060" t="str">
        <f>INDEX(PT_DIFFERENTIATION_NUM_TER,MATCH(B153,PT_DIFFERENTIATION_TER_ID,0))</f>
        <v>1.12</v>
      </c>
      <c r="T153" s="10061" t="s">
        <v>503</v>
      </c>
      <c r="U153" s="10062"/>
      <c r="V153" s="9494"/>
      <c r="W153" s="9495"/>
      <c r="X153" s="9495"/>
      <c r="Y153" s="9495"/>
      <c r="Z153" s="9495"/>
      <c r="AA153" s="9495"/>
      <c r="AB153" s="9495"/>
      <c r="AC153" s="9495"/>
      <c r="AD153" s="9495"/>
      <c r="AE153" s="9495"/>
      <c r="AF153" s="9496"/>
      <c r="AG153" s="9494" t="str">
        <f>INDEX(PT_DIFFERENTIATION_TER,MATCH(B153,PT_DIFFERENTIATION_TER_ID,0))</f>
        <v>Территория 12</v>
      </c>
      <c r="AH153" s="9495"/>
      <c r="AI153" s="9495"/>
      <c r="AJ153" s="9495"/>
      <c r="AK153" s="9495"/>
      <c r="AL153" s="9495"/>
      <c r="AM153" s="9495"/>
      <c r="AN153" s="9495"/>
      <c r="AO153" s="9495"/>
      <c r="AP153" s="9495"/>
      <c r="AQ153" s="9495"/>
      <c r="AR153" s="9494"/>
      <c r="AS153" s="9495"/>
      <c r="AT153" s="9495"/>
      <c r="AU153" s="9495"/>
      <c r="AV153" s="9495"/>
      <c r="AW153" s="9495"/>
      <c r="AX153" s="9495"/>
      <c r="AY153" s="9495"/>
      <c r="AZ153" s="9495"/>
      <c r="BA153" s="9495"/>
      <c r="BB153" s="9496"/>
      <c r="BC153" s="9494"/>
      <c r="BD153" s="9495"/>
      <c r="BE153" s="9495"/>
      <c r="BF153" s="9495"/>
      <c r="BG153" s="9495"/>
      <c r="BH153" s="9495"/>
      <c r="BI153" s="9495"/>
      <c r="BJ153" s="9495"/>
      <c r="BK153" s="9495"/>
      <c r="BL153" s="9495"/>
      <c r="BM153" s="9496"/>
      <c r="BN153" s="9494"/>
      <c r="BO153" s="9495"/>
      <c r="BP153" s="9495"/>
      <c r="BQ153" s="9495"/>
      <c r="BR153" s="9495"/>
      <c r="BS153" s="9495"/>
      <c r="BT153" s="9495"/>
      <c r="BU153" s="9495"/>
      <c r="BV153" s="9495"/>
      <c r="BW153" s="9495"/>
      <c r="BX153" s="9496"/>
      <c r="BY153" s="9494"/>
      <c r="BZ153" s="9495"/>
      <c r="CA153" s="9495"/>
      <c r="CB153" s="9495"/>
      <c r="CC153" s="9495"/>
      <c r="CD153" s="9495"/>
      <c r="CE153" s="9495"/>
      <c r="CF153" s="9495"/>
      <c r="CG153" s="9495"/>
      <c r="CH153" s="9495"/>
      <c r="CI153" s="9496"/>
      <c r="CJ153" s="9494"/>
      <c r="CK153" s="9495"/>
      <c r="CL153" s="9495"/>
      <c r="CM153" s="9495"/>
      <c r="CN153" s="9495"/>
      <c r="CO153" s="9495"/>
      <c r="CP153" s="9495"/>
      <c r="CQ153" s="9495"/>
      <c r="CR153" s="9495"/>
      <c r="CS153" s="9495"/>
      <c r="CT153" s="10063"/>
      <c r="CU153" s="9494"/>
      <c r="CV153" s="9495"/>
      <c r="CW153" s="9495"/>
      <c r="CX153" s="9495"/>
      <c r="CY153" s="9495"/>
      <c r="CZ153" s="9495"/>
      <c r="DA153" s="9495"/>
      <c r="DB153" s="9495"/>
      <c r="DC153" s="9495"/>
      <c r="DD153" s="9495"/>
      <c r="DE153" s="9496"/>
      <c r="DF153" s="9494"/>
      <c r="DG153" s="9495"/>
      <c r="DH153" s="9495"/>
      <c r="DI153" s="9495"/>
      <c r="DJ153" s="9495"/>
      <c r="DK153" s="9495"/>
      <c r="DL153" s="9495"/>
      <c r="DM153" s="9495"/>
      <c r="DN153" s="9495"/>
      <c r="DO153" s="9495"/>
      <c r="DP153" s="9496"/>
      <c r="DQ153" s="9496"/>
      <c r="DR153" s="10064" t="s">
        <v>504</v>
      </c>
      <c r="DS153" s="9769"/>
      <c r="DT153" s="10065"/>
      <c r="DU153" s="10065" t="str">
        <f>IF(T153="","",T153)</f>
        <v>Территория действия тарифа</v>
      </c>
      <c r="DV153" s="10065"/>
      <c r="DW153" s="10065"/>
    </row>
    <row s="20727" customFormat="1" customHeight="1" ht="23.25">
      <c r="A154" s="10052"/>
      <c r="B154" s="10052"/>
      <c r="C154" s="10052" t="s">
        <v>348</v>
      </c>
      <c r="D154" s="10052"/>
      <c r="E154" s="10053"/>
      <c r="F154" s="10053" t="s">
        <v>141</v>
      </c>
      <c r="G154" s="10054">
        <v>1</v>
      </c>
      <c r="H154" s="10052"/>
      <c r="I154" s="10052"/>
      <c r="J154" s="10052"/>
      <c r="K154" s="10052"/>
      <c r="L154" s="10055"/>
      <c r="M154" s="10056"/>
      <c r="N154" s="10056"/>
      <c r="O154" s="10056"/>
      <c r="P154" s="10067"/>
      <c r="Q154" s="10058"/>
      <c r="R154" s="10059"/>
      <c r="S154" s="10060" t="str">
        <f>INDEX(PT_DIFFERENTIATION_NUM_CS,MATCH(C154,PT_DIFFERENTIATION_CS_ID,0))</f>
        <v>1.12.1</v>
      </c>
      <c r="T154" s="10068" t="s">
        <v>634</v>
      </c>
      <c r="U154" s="10062"/>
      <c r="V154" s="9494"/>
      <c r="W154" s="9495"/>
      <c r="X154" s="9495"/>
      <c r="Y154" s="9495"/>
      <c r="Z154" s="9495"/>
      <c r="AA154" s="9495"/>
      <c r="AB154" s="9495"/>
      <c r="AC154" s="9495"/>
      <c r="AD154" s="9495"/>
      <c r="AE154" s="9495"/>
      <c r="AF154" s="9496"/>
      <c r="AG154" s="9494" t="str">
        <f>INDEX(PT_DIFFERENTIATION_CS,MATCH(C154,PT_DIFFERENTIATION_CS_ID,0))</f>
        <v>г. Спасск-Дальний</v>
      </c>
      <c r="AH154" s="9495"/>
      <c r="AI154" s="9495"/>
      <c r="AJ154" s="9495"/>
      <c r="AK154" s="9495"/>
      <c r="AL154" s="9495"/>
      <c r="AM154" s="9495"/>
      <c r="AN154" s="9495"/>
      <c r="AO154" s="9495"/>
      <c r="AP154" s="9495"/>
      <c r="AQ154" s="9495"/>
      <c r="AR154" s="9494"/>
      <c r="AS154" s="9495"/>
      <c r="AT154" s="9495"/>
      <c r="AU154" s="9495"/>
      <c r="AV154" s="9495"/>
      <c r="AW154" s="9495"/>
      <c r="AX154" s="9495"/>
      <c r="AY154" s="9495"/>
      <c r="AZ154" s="9495"/>
      <c r="BA154" s="9495"/>
      <c r="BB154" s="9496"/>
      <c r="BC154" s="9494"/>
      <c r="BD154" s="9495"/>
      <c r="BE154" s="9495"/>
      <c r="BF154" s="9495"/>
      <c r="BG154" s="9495"/>
      <c r="BH154" s="9495"/>
      <c r="BI154" s="9495"/>
      <c r="BJ154" s="9495"/>
      <c r="BK154" s="9495"/>
      <c r="BL154" s="9495"/>
      <c r="BM154" s="9496"/>
      <c r="BN154" s="9494"/>
      <c r="BO154" s="9495"/>
      <c r="BP154" s="9495"/>
      <c r="BQ154" s="9495"/>
      <c r="BR154" s="9495"/>
      <c r="BS154" s="9495"/>
      <c r="BT154" s="9495"/>
      <c r="BU154" s="9495"/>
      <c r="BV154" s="9495"/>
      <c r="BW154" s="9495"/>
      <c r="BX154" s="9496"/>
      <c r="BY154" s="9494"/>
      <c r="BZ154" s="9495"/>
      <c r="CA154" s="9495"/>
      <c r="CB154" s="9495"/>
      <c r="CC154" s="9495"/>
      <c r="CD154" s="9495"/>
      <c r="CE154" s="9495"/>
      <c r="CF154" s="9495"/>
      <c r="CG154" s="9495"/>
      <c r="CH154" s="9495"/>
      <c r="CI154" s="9496"/>
      <c r="CJ154" s="9494"/>
      <c r="CK154" s="9495"/>
      <c r="CL154" s="9495"/>
      <c r="CM154" s="9495"/>
      <c r="CN154" s="9495"/>
      <c r="CO154" s="9495"/>
      <c r="CP154" s="9495"/>
      <c r="CQ154" s="9495"/>
      <c r="CR154" s="9495"/>
      <c r="CS154" s="9495"/>
      <c r="CT154" s="10063"/>
      <c r="CU154" s="9494"/>
      <c r="CV154" s="9495"/>
      <c r="CW154" s="9495"/>
      <c r="CX154" s="9495"/>
      <c r="CY154" s="9495"/>
      <c r="CZ154" s="9495"/>
      <c r="DA154" s="9495"/>
      <c r="DB154" s="9495"/>
      <c r="DC154" s="9495"/>
      <c r="DD154" s="9495"/>
      <c r="DE154" s="9496"/>
      <c r="DF154" s="9494"/>
      <c r="DG154" s="9495"/>
      <c r="DH154" s="9495"/>
      <c r="DI154" s="9495"/>
      <c r="DJ154" s="9495"/>
      <c r="DK154" s="9495"/>
      <c r="DL154" s="9495"/>
      <c r="DM154" s="9495"/>
      <c r="DN154" s="9495"/>
      <c r="DO154" s="9495"/>
      <c r="DP154" s="9496"/>
      <c r="DQ154" s="9496"/>
      <c r="DR154" s="10064" t="s">
        <v>635</v>
      </c>
      <c r="DS154" s="9769"/>
      <c r="DT154" s="10065"/>
      <c r="DU154" s="10065" t="str">
        <f>IF(T154="","",T154)</f>
        <v>Наименование централизованной системы горячего водоснабжения</v>
      </c>
      <c r="DV154" s="10065"/>
      <c r="DW154" s="10065"/>
    </row>
    <row s="20728" customFormat="1" customHeight="1" ht="23.25">
      <c r="A155" s="10052"/>
      <c r="B155" s="10052"/>
      <c r="C155" s="10052"/>
      <c r="D155" s="10052"/>
      <c r="E155" s="10053"/>
      <c r="F155" s="10053" t="s">
        <v>141</v>
      </c>
      <c r="G155" s="10053"/>
      <c r="H155" s="10053"/>
      <c r="I155" s="10070" t="str">
        <f>S154&amp;".1"</f>
        <v>1.12.1.1</v>
      </c>
      <c r="J155" s="10052"/>
      <c r="K155" s="10052"/>
      <c r="L155" s="10055"/>
      <c r="M155" s="10071"/>
      <c r="N155" s="10071"/>
      <c r="O155" s="10071"/>
      <c r="P155" s="10072">
        <v>1</v>
      </c>
      <c r="Q155" s="10072"/>
      <c r="R155" s="10073"/>
      <c r="S155" s="10060" t="str">
        <f>$I155</f>
        <v>1.12.1.1</v>
      </c>
      <c r="T155" s="10074" t="s">
        <v>587</v>
      </c>
      <c r="U155" s="10062"/>
      <c r="V155" s="9500"/>
      <c r="W155" s="9501"/>
      <c r="X155" s="9501"/>
      <c r="Y155" s="9501"/>
      <c r="Z155" s="9501"/>
      <c r="AA155" s="9501"/>
      <c r="AB155" s="9501"/>
      <c r="AC155" s="9501"/>
      <c r="AD155" s="9501"/>
      <c r="AE155" s="9501"/>
      <c r="AF155" s="9502"/>
      <c r="AG155" s="10075"/>
      <c r="AH155" s="10076"/>
      <c r="AI155" s="10076"/>
      <c r="AJ155" s="10076"/>
      <c r="AK155" s="10076"/>
      <c r="AL155" s="10076"/>
      <c r="AM155" s="10076"/>
      <c r="AN155" s="10076"/>
      <c r="AO155" s="10076"/>
      <c r="AP155" s="10076"/>
      <c r="AQ155" s="10076"/>
      <c r="AR155" s="9500"/>
      <c r="AS155" s="9501"/>
      <c r="AT155" s="9501"/>
      <c r="AU155" s="9501"/>
      <c r="AV155" s="9501"/>
      <c r="AW155" s="9501"/>
      <c r="AX155" s="9501"/>
      <c r="AY155" s="9501"/>
      <c r="AZ155" s="9501"/>
      <c r="BA155" s="9501"/>
      <c r="BB155" s="9502"/>
      <c r="BC155" s="9500"/>
      <c r="BD155" s="9501"/>
      <c r="BE155" s="9501"/>
      <c r="BF155" s="9501"/>
      <c r="BG155" s="9501"/>
      <c r="BH155" s="9501"/>
      <c r="BI155" s="9501"/>
      <c r="BJ155" s="9501"/>
      <c r="BK155" s="9501"/>
      <c r="BL155" s="9501"/>
      <c r="BM155" s="9502"/>
      <c r="BN155" s="9500"/>
      <c r="BO155" s="9501"/>
      <c r="BP155" s="9501"/>
      <c r="BQ155" s="9501"/>
      <c r="BR155" s="9501"/>
      <c r="BS155" s="9501"/>
      <c r="BT155" s="9501"/>
      <c r="BU155" s="9501"/>
      <c r="BV155" s="9501"/>
      <c r="BW155" s="9501"/>
      <c r="BX155" s="9502"/>
      <c r="BY155" s="9500"/>
      <c r="BZ155" s="9501"/>
      <c r="CA155" s="9501"/>
      <c r="CB155" s="9501"/>
      <c r="CC155" s="9501"/>
      <c r="CD155" s="9501"/>
      <c r="CE155" s="9501"/>
      <c r="CF155" s="9501"/>
      <c r="CG155" s="9501"/>
      <c r="CH155" s="9501"/>
      <c r="CI155" s="9502"/>
      <c r="CJ155" s="9500"/>
      <c r="CK155" s="9501"/>
      <c r="CL155" s="9501"/>
      <c r="CM155" s="9501"/>
      <c r="CN155" s="9501"/>
      <c r="CO155" s="9501"/>
      <c r="CP155" s="9501"/>
      <c r="CQ155" s="9501"/>
      <c r="CR155" s="9501"/>
      <c r="CS155" s="9501"/>
      <c r="CT155" s="10077"/>
      <c r="CU155" s="9500"/>
      <c r="CV155" s="9501"/>
      <c r="CW155" s="9501"/>
      <c r="CX155" s="9501"/>
      <c r="CY155" s="9501"/>
      <c r="CZ155" s="9501"/>
      <c r="DA155" s="9501"/>
      <c r="DB155" s="9501"/>
      <c r="DC155" s="9501"/>
      <c r="DD155" s="9501"/>
      <c r="DE155" s="9502"/>
      <c r="DF155" s="9500"/>
      <c r="DG155" s="9501"/>
      <c r="DH155" s="9501"/>
      <c r="DI155" s="9501"/>
      <c r="DJ155" s="9501"/>
      <c r="DK155" s="9501"/>
      <c r="DL155" s="9501"/>
      <c r="DM155" s="9501"/>
      <c r="DN155" s="9501"/>
      <c r="DO155" s="9501"/>
      <c r="DP155" s="9502"/>
      <c r="DQ155" s="10078"/>
      <c r="DR155" s="10064" t="s">
        <v>588</v>
      </c>
      <c r="DS155" s="9769"/>
      <c r="DT155" s="10065"/>
      <c r="DU155" s="10065" t="str">
        <f>IF(T155="","",T155)</f>
        <v>Наименование признака дифференциации</v>
      </c>
      <c r="DV155" s="10065"/>
      <c r="DW155" s="10065"/>
    </row>
    <row s="20729" customFormat="1" customHeight="1" ht="23.25">
      <c r="A156" s="10052"/>
      <c r="B156" s="10052"/>
      <c r="C156" s="10052"/>
      <c r="D156" s="10052"/>
      <c r="E156" s="10053"/>
      <c r="F156" s="10053" t="s">
        <v>141</v>
      </c>
      <c r="G156" s="10053"/>
      <c r="H156" s="10053"/>
      <c r="I156" s="10080"/>
      <c r="J156" s="10070" t="str">
        <f>I155&amp;".1"</f>
        <v>1.12.1.1.1</v>
      </c>
      <c r="K156" s="10052"/>
      <c r="L156" s="10055" t="s">
        <v>512</v>
      </c>
      <c r="M156" s="10071"/>
      <c r="N156" s="10071"/>
      <c r="O156" s="10071"/>
      <c r="P156" s="10072"/>
      <c r="Q156" s="10072">
        <v>1</v>
      </c>
      <c r="R156" s="10081"/>
      <c r="S156" s="10060" t="str">
        <f>$J156</f>
        <v>1.12.1.1.1</v>
      </c>
      <c r="T156" s="10082" t="s">
        <v>513</v>
      </c>
      <c r="U156" s="10062"/>
      <c r="V156" s="9506"/>
      <c r="W156" s="9507"/>
      <c r="X156" s="9507"/>
      <c r="Y156" s="9507"/>
      <c r="Z156" s="9507"/>
      <c r="AA156" s="9507"/>
      <c r="AB156" s="9507"/>
      <c r="AC156" s="9507"/>
      <c r="AD156" s="9507"/>
      <c r="AE156" s="9507"/>
      <c r="AF156" s="9508"/>
      <c r="AG156" s="9506" t="s">
        <v>647</v>
      </c>
      <c r="AH156" s="9507"/>
      <c r="AI156" s="9507"/>
      <c r="AJ156" s="9507"/>
      <c r="AK156" s="9507"/>
      <c r="AL156" s="9507"/>
      <c r="AM156" s="9507"/>
      <c r="AN156" s="9507"/>
      <c r="AO156" s="9507"/>
      <c r="AP156" s="9507"/>
      <c r="AQ156" s="9507"/>
      <c r="AR156" s="9506"/>
      <c r="AS156" s="9507"/>
      <c r="AT156" s="9507"/>
      <c r="AU156" s="9507"/>
      <c r="AV156" s="9507"/>
      <c r="AW156" s="9507"/>
      <c r="AX156" s="9507"/>
      <c r="AY156" s="9507"/>
      <c r="AZ156" s="9507"/>
      <c r="BA156" s="9507"/>
      <c r="BB156" s="9508"/>
      <c r="BC156" s="9506"/>
      <c r="BD156" s="9507"/>
      <c r="BE156" s="9507"/>
      <c r="BF156" s="9507"/>
      <c r="BG156" s="9507"/>
      <c r="BH156" s="9507"/>
      <c r="BI156" s="9507"/>
      <c r="BJ156" s="9507"/>
      <c r="BK156" s="9507"/>
      <c r="BL156" s="9507"/>
      <c r="BM156" s="9508"/>
      <c r="BN156" s="9506"/>
      <c r="BO156" s="9507"/>
      <c r="BP156" s="9507"/>
      <c r="BQ156" s="9507"/>
      <c r="BR156" s="9507"/>
      <c r="BS156" s="9507"/>
      <c r="BT156" s="9507"/>
      <c r="BU156" s="9507"/>
      <c r="BV156" s="9507"/>
      <c r="BW156" s="9507"/>
      <c r="BX156" s="9508"/>
      <c r="BY156" s="9506"/>
      <c r="BZ156" s="9507"/>
      <c r="CA156" s="9507"/>
      <c r="CB156" s="9507"/>
      <c r="CC156" s="9507"/>
      <c r="CD156" s="9507"/>
      <c r="CE156" s="9507"/>
      <c r="CF156" s="9507"/>
      <c r="CG156" s="9507"/>
      <c r="CH156" s="9507"/>
      <c r="CI156" s="9508"/>
      <c r="CJ156" s="9506"/>
      <c r="CK156" s="9507"/>
      <c r="CL156" s="9507"/>
      <c r="CM156" s="9507"/>
      <c r="CN156" s="9507"/>
      <c r="CO156" s="9507"/>
      <c r="CP156" s="9507"/>
      <c r="CQ156" s="9507"/>
      <c r="CR156" s="9507"/>
      <c r="CS156" s="9507"/>
      <c r="CT156" s="10083"/>
      <c r="CU156" s="9506"/>
      <c r="CV156" s="9507"/>
      <c r="CW156" s="9507"/>
      <c r="CX156" s="9507"/>
      <c r="CY156" s="9507"/>
      <c r="CZ156" s="9507"/>
      <c r="DA156" s="9507"/>
      <c r="DB156" s="9507"/>
      <c r="DC156" s="9507"/>
      <c r="DD156" s="9507"/>
      <c r="DE156" s="9508"/>
      <c r="DF156" s="9506"/>
      <c r="DG156" s="9507"/>
      <c r="DH156" s="9507"/>
      <c r="DI156" s="9507"/>
      <c r="DJ156" s="9507"/>
      <c r="DK156" s="9507"/>
      <c r="DL156" s="9507"/>
      <c r="DM156" s="9507"/>
      <c r="DN156" s="9507"/>
      <c r="DO156" s="9507"/>
      <c r="DP156" s="9508"/>
      <c r="DQ156" s="9508"/>
      <c r="DR156" s="10084" t="s">
        <v>589</v>
      </c>
      <c r="DS156" s="9769"/>
      <c r="DT156" s="10065"/>
      <c r="DU156" s="10065" t="str">
        <f>IF(T156="","",T156)</f>
        <v>Группа потребителей</v>
      </c>
      <c r="DV156" s="10065"/>
      <c r="DW156" s="10065"/>
    </row>
    <row s="20730" customFormat="1" customHeight="1" ht="23.25">
      <c r="A157" s="10052"/>
      <c r="B157" s="10052"/>
      <c r="C157" s="10052"/>
      <c r="D157" s="10052"/>
      <c r="E157" s="10053"/>
      <c r="F157" s="10053" t="s">
        <v>141</v>
      </c>
      <c r="G157" s="10053"/>
      <c r="H157" s="10053"/>
      <c r="I157" s="10080"/>
      <c r="J157" s="10080"/>
      <c r="K157" s="10070" t="str">
        <f>J156&amp;".1"</f>
        <v>1.12.1.1.1.1</v>
      </c>
      <c r="L157" s="10055"/>
      <c r="M157" s="10071"/>
      <c r="N157" s="10071"/>
      <c r="O157" s="10071"/>
      <c r="P157" s="10072"/>
      <c r="Q157" s="10072"/>
      <c r="R157" s="10081">
        <v>1</v>
      </c>
      <c r="S157" s="10060" t="str">
        <f>$K157</f>
        <v>1.12.1.1.1.1</v>
      </c>
      <c r="T157" s="10086"/>
      <c r="U157" s="10062"/>
      <c r="V157" s="9512"/>
      <c r="W157" s="9512"/>
      <c r="X157" s="9512"/>
      <c r="Y157" s="9512"/>
      <c r="Z157" s="9512"/>
      <c r="AA157" s="9512"/>
      <c r="AB157" s="9512"/>
      <c r="AC157" s="9513"/>
      <c r="AD157" s="9514" t="s">
        <v>63</v>
      </c>
      <c r="AE157" s="9513"/>
      <c r="AF157" s="9514" t="s">
        <v>63</v>
      </c>
      <c r="AG157" s="9512">
        <v>415.85</v>
      </c>
      <c r="AH157" s="9512"/>
      <c r="AI157" s="9512"/>
      <c r="AJ157" s="9512"/>
      <c r="AK157" s="9512"/>
      <c r="AL157" s="9512"/>
      <c r="AM157" s="9512"/>
      <c r="AN157" s="9513">
        <v>45658.62366898148</v>
      </c>
      <c r="AO157" s="9514" t="s">
        <v>63</v>
      </c>
      <c r="AP157" s="9817">
        <v>45838.6237962963</v>
      </c>
      <c r="AQ157" s="9514" t="s">
        <v>63</v>
      </c>
      <c r="AR157" s="9512">
        <v>588.97</v>
      </c>
      <c r="AS157" s="9512"/>
      <c r="AT157" s="9512"/>
      <c r="AU157" s="9512"/>
      <c r="AV157" s="9512"/>
      <c r="AW157" s="9512"/>
      <c r="AX157" s="9512"/>
      <c r="AY157" s="9513">
        <v>45839.624502314815</v>
      </c>
      <c r="AZ157" s="9514" t="s">
        <v>63</v>
      </c>
      <c r="BA157" s="20731">
        <v>46022.62464120371</v>
      </c>
      <c r="BB157" s="9514" t="s">
        <v>63</v>
      </c>
      <c r="BC157" s="9512">
        <v>588.97</v>
      </c>
      <c r="BD157" s="9512"/>
      <c r="BE157" s="9512"/>
      <c r="BF157" s="9512"/>
      <c r="BG157" s="9512"/>
      <c r="BH157" s="9512"/>
      <c r="BI157" s="9512"/>
      <c r="BJ157" s="9513">
        <v>46023.62553240741</v>
      </c>
      <c r="BK157" s="9514" t="s">
        <v>63</v>
      </c>
      <c r="BL157" s="9513">
        <v>46203.625625</v>
      </c>
      <c r="BM157" s="9514" t="s">
        <v>63</v>
      </c>
      <c r="BN157" s="9512">
        <v>612.54</v>
      </c>
      <c r="BO157" s="9512"/>
      <c r="BP157" s="9512"/>
      <c r="BQ157" s="9512"/>
      <c r="BR157" s="9512"/>
      <c r="BS157" s="9512"/>
      <c r="BT157" s="9512"/>
      <c r="BU157" s="9513">
        <v>46204.63915509259</v>
      </c>
      <c r="BV157" s="9514" t="s">
        <v>63</v>
      </c>
      <c r="BW157" s="9513">
        <v>46387.63929398148</v>
      </c>
      <c r="BX157" s="9514" t="s">
        <v>63</v>
      </c>
      <c r="BY157" s="9512">
        <v>612.54</v>
      </c>
      <c r="BZ157" s="9512"/>
      <c r="CA157" s="9512"/>
      <c r="CB157" s="9512"/>
      <c r="CC157" s="9512"/>
      <c r="CD157" s="9512"/>
      <c r="CE157" s="9512"/>
      <c r="CF157" s="20731">
        <v>46388.643009259256</v>
      </c>
      <c r="CG157" s="9514" t="s">
        <v>63</v>
      </c>
      <c r="CH157" s="20731">
        <v>46568.64313657407</v>
      </c>
      <c r="CI157" s="9514" t="s">
        <v>63</v>
      </c>
      <c r="CJ157" s="9512">
        <v>637.04</v>
      </c>
      <c r="CK157" s="9512"/>
      <c r="CL157" s="9512"/>
      <c r="CM157" s="9512"/>
      <c r="CN157" s="9512"/>
      <c r="CO157" s="9512"/>
      <c r="CP157" s="9512"/>
      <c r="CQ157" s="20731">
        <v>46569.64585648148</v>
      </c>
      <c r="CR157" s="9514" t="s">
        <v>63</v>
      </c>
      <c r="CS157" s="20731">
        <v>46752.64597222222</v>
      </c>
      <c r="CT157" s="10087" t="s">
        <v>63</v>
      </c>
      <c r="CU157" s="9512">
        <v>637.04</v>
      </c>
      <c r="CV157" s="9512"/>
      <c r="CW157" s="9512"/>
      <c r="CX157" s="9512"/>
      <c r="CY157" s="9512"/>
      <c r="CZ157" s="9512"/>
      <c r="DA157" s="9512"/>
      <c r="DB157" s="20731">
        <v>46753.64949074074</v>
      </c>
      <c r="DC157" s="9514" t="s">
        <v>63</v>
      </c>
      <c r="DD157" s="20731">
        <v>46934.6496412037</v>
      </c>
      <c r="DE157" s="9514" t="s">
        <v>63</v>
      </c>
      <c r="DF157" s="9512">
        <v>662.51</v>
      </c>
      <c r="DG157" s="9512"/>
      <c r="DH157" s="9512"/>
      <c r="DI157" s="9512"/>
      <c r="DJ157" s="9512"/>
      <c r="DK157" s="9512"/>
      <c r="DL157" s="9512"/>
      <c r="DM157" s="20731">
        <v>46935.663125</v>
      </c>
      <c r="DN157" s="9514" t="s">
        <v>63</v>
      </c>
      <c r="DO157" s="20731">
        <v>47118.66321759259</v>
      </c>
      <c r="DP157" s="9514" t="s">
        <v>63</v>
      </c>
      <c r="DQ157" s="10088"/>
      <c r="DR157" s="100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S157" s="9769">
        <f>STRCHECKDATE(V158:DQ158)</f>
      </c>
      <c r="DT157" s="10065"/>
      <c r="DU157" s="10065" t="str">
        <f>IF(T157="","",T157)</f>
        <v/>
      </c>
      <c r="DV157" s="10065"/>
      <c r="DW157" s="10065"/>
    </row>
    <row s="20732" customFormat="1" customHeight="1" ht="14.25">
      <c r="A158" s="10052"/>
      <c r="B158" s="10052"/>
      <c r="C158" s="10052"/>
      <c r="D158" s="10052"/>
      <c r="E158" s="10053"/>
      <c r="F158" s="10053" t="s">
        <v>141</v>
      </c>
      <c r="G158" s="10053"/>
      <c r="H158" s="10053"/>
      <c r="I158" s="10080"/>
      <c r="J158" s="10080"/>
      <c r="K158" s="10070"/>
      <c r="L158" s="10055"/>
      <c r="M158" s="10071"/>
      <c r="N158" s="10071"/>
      <c r="O158" s="10071"/>
      <c r="P158" s="10072"/>
      <c r="Q158" s="10072"/>
      <c r="R158" s="10081"/>
      <c r="S158" s="10091"/>
      <c r="T158" s="10062"/>
      <c r="U158" s="10062"/>
      <c r="V158" s="9517"/>
      <c r="W158" s="9517"/>
      <c r="X158" s="9517"/>
      <c r="Y158" s="9517"/>
      <c r="Z158" s="9517"/>
      <c r="AA158" s="9517"/>
      <c r="AB158" s="9517"/>
      <c r="AC158" s="9518"/>
      <c r="AD158" s="9514"/>
      <c r="AE158" s="9518"/>
      <c r="AF158" s="9514"/>
      <c r="AG158" s="9517"/>
      <c r="AH158" s="9517"/>
      <c r="AI158" s="9517"/>
      <c r="AJ158" s="9517"/>
      <c r="AK158" s="9517"/>
      <c r="AL158" s="9517"/>
      <c r="AM158" s="9517"/>
      <c r="AN158" s="9518"/>
      <c r="AO158" s="9514"/>
      <c r="AP158" s="9819"/>
      <c r="AQ158" s="9514"/>
      <c r="AR158" s="9517"/>
      <c r="AS158" s="9517"/>
      <c r="AT158" s="9517"/>
      <c r="AU158" s="9517"/>
      <c r="AV158" s="9517"/>
      <c r="AW158" s="9517"/>
      <c r="AX158" s="9517"/>
      <c r="AY158" s="9518"/>
      <c r="AZ158" s="9514"/>
      <c r="BA158" s="9518"/>
      <c r="BB158" s="9514"/>
      <c r="BC158" s="9517"/>
      <c r="BD158" s="9517"/>
      <c r="BE158" s="9517"/>
      <c r="BF158" s="9517"/>
      <c r="BG158" s="9517"/>
      <c r="BH158" s="9517"/>
      <c r="BI158" s="9517"/>
      <c r="BJ158" s="9518"/>
      <c r="BK158" s="9514"/>
      <c r="BL158" s="9518"/>
      <c r="BM158" s="9514"/>
      <c r="BN158" s="9517"/>
      <c r="BO158" s="9517"/>
      <c r="BP158" s="9517"/>
      <c r="BQ158" s="9517"/>
      <c r="BR158" s="9517"/>
      <c r="BS158" s="9517"/>
      <c r="BT158" s="9517"/>
      <c r="BU158" s="9518"/>
      <c r="BV158" s="9514"/>
      <c r="BW158" s="9518"/>
      <c r="BX158" s="9514"/>
      <c r="BY158" s="9517"/>
      <c r="BZ158" s="9517"/>
      <c r="CA158" s="9517"/>
      <c r="CB158" s="9517"/>
      <c r="CC158" s="9517"/>
      <c r="CD158" s="9517"/>
      <c r="CE158" s="9517"/>
      <c r="CF158" s="9518"/>
      <c r="CG158" s="9514"/>
      <c r="CH158" s="9518"/>
      <c r="CI158" s="9514"/>
      <c r="CJ158" s="9517"/>
      <c r="CK158" s="9517"/>
      <c r="CL158" s="9517"/>
      <c r="CM158" s="9517"/>
      <c r="CN158" s="9517"/>
      <c r="CO158" s="9517"/>
      <c r="CP158" s="9517"/>
      <c r="CQ158" s="9518"/>
      <c r="CR158" s="9514"/>
      <c r="CS158" s="9518"/>
      <c r="CT158" s="10087"/>
      <c r="CU158" s="9517"/>
      <c r="CV158" s="9517"/>
      <c r="CW158" s="9517"/>
      <c r="CX158" s="9517"/>
      <c r="CY158" s="9517"/>
      <c r="CZ158" s="9517"/>
      <c r="DA158" s="9517"/>
      <c r="DB158" s="9518"/>
      <c r="DC158" s="9514"/>
      <c r="DD158" s="9518"/>
      <c r="DE158" s="9514"/>
      <c r="DF158" s="9517"/>
      <c r="DG158" s="9517"/>
      <c r="DH158" s="9517"/>
      <c r="DI158" s="9517"/>
      <c r="DJ158" s="9517"/>
      <c r="DK158" s="9517"/>
      <c r="DL158" s="9517"/>
      <c r="DM158" s="9518"/>
      <c r="DN158" s="9514"/>
      <c r="DO158" s="9518"/>
      <c r="DP158" s="9514"/>
      <c r="DQ158" s="10092"/>
      <c r="DR158" s="10089"/>
      <c r="DS158" s="9769"/>
      <c r="DT158" s="10065"/>
      <c r="DU158" s="10065" t="str">
        <f>IF(T158="","",T158)</f>
        <v/>
      </c>
      <c r="DV158" s="10065"/>
      <c r="DW158" s="10065"/>
    </row>
    <row s="20733" customFormat="1" customHeight="1" ht="21">
      <c r="A159" s="10052"/>
      <c r="B159" s="10052"/>
      <c r="C159" s="10052"/>
      <c r="D159" s="10052"/>
      <c r="E159" s="10053"/>
      <c r="F159" s="10053" t="s">
        <v>141</v>
      </c>
      <c r="G159" s="10053"/>
      <c r="H159" s="10053"/>
      <c r="I159" s="10080"/>
      <c r="J159" s="10070"/>
      <c r="K159" s="10052"/>
      <c r="L159" s="10055"/>
      <c r="M159" s="10071"/>
      <c r="N159" s="10071"/>
      <c r="O159" s="10071"/>
      <c r="P159" s="10072"/>
      <c r="Q159" s="10072"/>
      <c r="R159" s="10073"/>
      <c r="S159" s="13315"/>
      <c r="T159" s="13316" t="s">
        <v>590</v>
      </c>
      <c r="U159" s="13317"/>
      <c r="V159" s="13318"/>
      <c r="W159" s="13319"/>
      <c r="X159" s="13320"/>
      <c r="Y159" s="13321"/>
      <c r="Z159" s="13322"/>
      <c r="AA159" s="13323"/>
      <c r="AB159" s="13324"/>
      <c r="AC159" s="13325"/>
      <c r="AD159" s="13326"/>
      <c r="AE159" s="13327"/>
      <c r="AF159" s="13328"/>
      <c r="AG159" s="13329"/>
      <c r="AH159" s="13330"/>
      <c r="AI159" s="13331"/>
      <c r="AJ159" s="13332"/>
      <c r="AK159" s="13333"/>
      <c r="AL159" s="13334"/>
      <c r="AM159" s="13335"/>
      <c r="AN159" s="13336"/>
      <c r="AO159" s="13337"/>
      <c r="AP159" s="13338"/>
      <c r="AQ159" s="13339"/>
      <c r="AR159" s="13340"/>
      <c r="AS159" s="13341"/>
      <c r="AT159" s="13342"/>
      <c r="AU159" s="13343"/>
      <c r="AV159" s="13344"/>
      <c r="AW159" s="13345"/>
      <c r="AX159" s="13346"/>
      <c r="AY159" s="13347"/>
      <c r="AZ159" s="13348"/>
      <c r="BA159" s="13349"/>
      <c r="BB159" s="13350"/>
      <c r="BC159" s="13351"/>
      <c r="BD159" s="13352"/>
      <c r="BE159" s="13353"/>
      <c r="BF159" s="13354"/>
      <c r="BG159" s="13355"/>
      <c r="BH159" s="13356"/>
      <c r="BI159" s="13357"/>
      <c r="BJ159" s="13358"/>
      <c r="BK159" s="13359"/>
      <c r="BL159" s="13360"/>
      <c r="BM159" s="13361"/>
      <c r="BN159" s="13362"/>
      <c r="BO159" s="13363"/>
      <c r="BP159" s="13364"/>
      <c r="BQ159" s="13365"/>
      <c r="BR159" s="13366"/>
      <c r="BS159" s="13367"/>
      <c r="BT159" s="13368"/>
      <c r="BU159" s="13369"/>
      <c r="BV159" s="13370"/>
      <c r="BW159" s="13371"/>
      <c r="BX159" s="13372"/>
      <c r="BY159" s="13373"/>
      <c r="BZ159" s="13374"/>
      <c r="CA159" s="13375"/>
      <c r="CB159" s="13376"/>
      <c r="CC159" s="13377"/>
      <c r="CD159" s="13378"/>
      <c r="CE159" s="13379"/>
      <c r="CF159" s="13380"/>
      <c r="CG159" s="13381"/>
      <c r="CH159" s="13382"/>
      <c r="CI159" s="13383"/>
      <c r="CJ159" s="13384"/>
      <c r="CK159" s="13385"/>
      <c r="CL159" s="13386"/>
      <c r="CM159" s="13387"/>
      <c r="CN159" s="13388"/>
      <c r="CO159" s="13389"/>
      <c r="CP159" s="13390"/>
      <c r="CQ159" s="13391"/>
      <c r="CR159" s="13392"/>
      <c r="CS159" s="13393"/>
      <c r="CT159" s="13394"/>
      <c r="CU159" s="13395"/>
      <c r="CV159" s="13396"/>
      <c r="CW159" s="13397"/>
      <c r="CX159" s="13398"/>
      <c r="CY159" s="13399"/>
      <c r="CZ159" s="13400"/>
      <c r="DA159" s="13401"/>
      <c r="DB159" s="13402"/>
      <c r="DC159" s="13403"/>
      <c r="DD159" s="13404"/>
      <c r="DE159" s="13405"/>
      <c r="DF159" s="13406"/>
      <c r="DG159" s="13407"/>
      <c r="DH159" s="13408"/>
      <c r="DI159" s="13409"/>
      <c r="DJ159" s="13410"/>
      <c r="DK159" s="13411"/>
      <c r="DL159" s="13412"/>
      <c r="DM159" s="13413"/>
      <c r="DN159" s="13414"/>
      <c r="DO159" s="13415"/>
      <c r="DP159" s="13416"/>
      <c r="DQ159" s="13417"/>
      <c r="DR159" s="10064" t="s">
        <v>591</v>
      </c>
      <c r="DS159" s="9769"/>
      <c r="DT159" s="10065"/>
      <c r="DU159" s="10065" t="str">
        <f>IF(T159="","",T159)</f>
        <v>Добавить значение признака дифференциации</v>
      </c>
      <c r="DV159" s="10065"/>
      <c r="DW159" s="10065"/>
    </row>
    <row s="20837" customFormat="1" customHeight="1" ht="21">
      <c r="A160" s="10052"/>
      <c r="B160" s="10052"/>
      <c r="C160" s="10052"/>
      <c r="D160" s="10052"/>
      <c r="E160" s="10053"/>
      <c r="F160" s="10053" t="s">
        <v>141</v>
      </c>
      <c r="G160" s="10053"/>
      <c r="H160" s="10053"/>
      <c r="I160" s="10070"/>
      <c r="J160" s="10052"/>
      <c r="K160" s="10052"/>
      <c r="L160" s="10055"/>
      <c r="M160" s="10071"/>
      <c r="N160" s="10071"/>
      <c r="O160" s="10071"/>
      <c r="P160" s="10072"/>
      <c r="Q160" s="10072"/>
      <c r="R160" s="10073"/>
      <c r="S160" s="13419"/>
      <c r="T160" s="13420" t="s">
        <v>518</v>
      </c>
      <c r="U160" s="13421"/>
      <c r="V160" s="13422"/>
      <c r="W160" s="13423"/>
      <c r="X160" s="13424"/>
      <c r="Y160" s="13425"/>
      <c r="Z160" s="13426"/>
      <c r="AA160" s="13427"/>
      <c r="AB160" s="13428"/>
      <c r="AC160" s="13429"/>
      <c r="AD160" s="13430"/>
      <c r="AE160" s="13431"/>
      <c r="AF160" s="13432"/>
      <c r="AG160" s="13433"/>
      <c r="AH160" s="13434"/>
      <c r="AI160" s="13435"/>
      <c r="AJ160" s="13436"/>
      <c r="AK160" s="13437"/>
      <c r="AL160" s="13438"/>
      <c r="AM160" s="13439"/>
      <c r="AN160" s="13440"/>
      <c r="AO160" s="13441"/>
      <c r="AP160" s="13442"/>
      <c r="AQ160" s="13443"/>
      <c r="AR160" s="13444"/>
      <c r="AS160" s="13445"/>
      <c r="AT160" s="13446"/>
      <c r="AU160" s="13447"/>
      <c r="AV160" s="13448"/>
      <c r="AW160" s="13449"/>
      <c r="AX160" s="13450"/>
      <c r="AY160" s="13451"/>
      <c r="AZ160" s="13452"/>
      <c r="BA160" s="13453"/>
      <c r="BB160" s="13454"/>
      <c r="BC160" s="13455"/>
      <c r="BD160" s="13456"/>
      <c r="BE160" s="13457"/>
      <c r="BF160" s="13458"/>
      <c r="BG160" s="13459"/>
      <c r="BH160" s="13460"/>
      <c r="BI160" s="13461"/>
      <c r="BJ160" s="13462"/>
      <c r="BK160" s="13463"/>
      <c r="BL160" s="13464"/>
      <c r="BM160" s="13465"/>
      <c r="BN160" s="13466"/>
      <c r="BO160" s="13467"/>
      <c r="BP160" s="13468"/>
      <c r="BQ160" s="13469"/>
      <c r="BR160" s="13470"/>
      <c r="BS160" s="13471"/>
      <c r="BT160" s="13472"/>
      <c r="BU160" s="13473"/>
      <c r="BV160" s="13474"/>
      <c r="BW160" s="13475"/>
      <c r="BX160" s="13476"/>
      <c r="BY160" s="13477"/>
      <c r="BZ160" s="13478"/>
      <c r="CA160" s="13479"/>
      <c r="CB160" s="13480"/>
      <c r="CC160" s="13481"/>
      <c r="CD160" s="13482"/>
      <c r="CE160" s="13483"/>
      <c r="CF160" s="13484"/>
      <c r="CG160" s="13485"/>
      <c r="CH160" s="13486"/>
      <c r="CI160" s="13487"/>
      <c r="CJ160" s="13488"/>
      <c r="CK160" s="13489"/>
      <c r="CL160" s="13490"/>
      <c r="CM160" s="13491"/>
      <c r="CN160" s="13492"/>
      <c r="CO160" s="13493"/>
      <c r="CP160" s="13494"/>
      <c r="CQ160" s="13495"/>
      <c r="CR160" s="13496"/>
      <c r="CS160" s="13497"/>
      <c r="CT160" s="13498"/>
      <c r="CU160" s="13499"/>
      <c r="CV160" s="13500"/>
      <c r="CW160" s="13501"/>
      <c r="CX160" s="13502"/>
      <c r="CY160" s="13503"/>
      <c r="CZ160" s="13504"/>
      <c r="DA160" s="13505"/>
      <c r="DB160" s="13506"/>
      <c r="DC160" s="13507"/>
      <c r="DD160" s="13508"/>
      <c r="DE160" s="13509"/>
      <c r="DF160" s="13510"/>
      <c r="DG160" s="13511"/>
      <c r="DH160" s="13512"/>
      <c r="DI160" s="13513"/>
      <c r="DJ160" s="13514"/>
      <c r="DK160" s="13515"/>
      <c r="DL160" s="13516"/>
      <c r="DM160" s="13517"/>
      <c r="DN160" s="13518"/>
      <c r="DO160" s="13519"/>
      <c r="DP160" s="13520"/>
      <c r="DQ160" s="13521"/>
      <c r="DR160" s="13522"/>
      <c r="DS160" s="9769"/>
      <c r="DT160" s="10065"/>
      <c r="DU160" s="10065" t="str">
        <f>IF(T160="","",T160)</f>
        <v>Добавить группу потребителей</v>
      </c>
      <c r="DV160" s="10065"/>
      <c r="DW160" s="10065"/>
    </row>
    <row s="20942" customFormat="1" customHeight="1" ht="21">
      <c r="A161" s="10052"/>
      <c r="B161" s="10052"/>
      <c r="C161" s="10052"/>
      <c r="D161" s="10052"/>
      <c r="E161" s="10053"/>
      <c r="F161" s="10053" t="s">
        <v>141</v>
      </c>
      <c r="G161" s="10053"/>
      <c r="H161" s="10054"/>
      <c r="I161" s="10052"/>
      <c r="J161" s="10052"/>
      <c r="K161" s="10052"/>
      <c r="L161" s="10055"/>
      <c r="M161" s="10056"/>
      <c r="N161" s="10056"/>
      <c r="O161" s="9754"/>
      <c r="P161" s="10303"/>
      <c r="Q161" s="10304"/>
      <c r="R161" s="10305"/>
      <c r="S161" s="13524"/>
      <c r="T161" s="13525" t="s">
        <v>592</v>
      </c>
      <c r="U161" s="13526"/>
      <c r="V161" s="13527"/>
      <c r="W161" s="13528"/>
      <c r="X161" s="13529"/>
      <c r="Y161" s="13530"/>
      <c r="Z161" s="13531"/>
      <c r="AA161" s="13532"/>
      <c r="AB161" s="13533"/>
      <c r="AC161" s="13534"/>
      <c r="AD161" s="13535"/>
      <c r="AE161" s="13536"/>
      <c r="AF161" s="13537"/>
      <c r="AG161" s="13538"/>
      <c r="AH161" s="13539"/>
      <c r="AI161" s="13540"/>
      <c r="AJ161" s="13541"/>
      <c r="AK161" s="13542"/>
      <c r="AL161" s="13543"/>
      <c r="AM161" s="13544"/>
      <c r="AN161" s="13545"/>
      <c r="AO161" s="13546"/>
      <c r="AP161" s="13547"/>
      <c r="AQ161" s="13548"/>
      <c r="AR161" s="13549"/>
      <c r="AS161" s="13550"/>
      <c r="AT161" s="13551"/>
      <c r="AU161" s="13552"/>
      <c r="AV161" s="13553"/>
      <c r="AW161" s="13554"/>
      <c r="AX161" s="13555"/>
      <c r="AY161" s="13556"/>
      <c r="AZ161" s="13557"/>
      <c r="BA161" s="13558"/>
      <c r="BB161" s="13559"/>
      <c r="BC161" s="13560"/>
      <c r="BD161" s="13561"/>
      <c r="BE161" s="13562"/>
      <c r="BF161" s="13563"/>
      <c r="BG161" s="13564"/>
      <c r="BH161" s="13565"/>
      <c r="BI161" s="13566"/>
      <c r="BJ161" s="13567"/>
      <c r="BK161" s="13568"/>
      <c r="BL161" s="13569"/>
      <c r="BM161" s="13570"/>
      <c r="BN161" s="13571"/>
      <c r="BO161" s="13572"/>
      <c r="BP161" s="13573"/>
      <c r="BQ161" s="13574"/>
      <c r="BR161" s="13575"/>
      <c r="BS161" s="13576"/>
      <c r="BT161" s="13577"/>
      <c r="BU161" s="13578"/>
      <c r="BV161" s="13579"/>
      <c r="BW161" s="13580"/>
      <c r="BX161" s="13581"/>
      <c r="BY161" s="13582"/>
      <c r="BZ161" s="13583"/>
      <c r="CA161" s="13584"/>
      <c r="CB161" s="13585"/>
      <c r="CC161" s="13586"/>
      <c r="CD161" s="13587"/>
      <c r="CE161" s="13588"/>
      <c r="CF161" s="13589"/>
      <c r="CG161" s="13590"/>
      <c r="CH161" s="13591"/>
      <c r="CI161" s="13592"/>
      <c r="CJ161" s="13593"/>
      <c r="CK161" s="13594"/>
      <c r="CL161" s="13595"/>
      <c r="CM161" s="13596"/>
      <c r="CN161" s="13597"/>
      <c r="CO161" s="13598"/>
      <c r="CP161" s="13599"/>
      <c r="CQ161" s="13600"/>
      <c r="CR161" s="13601"/>
      <c r="CS161" s="13602"/>
      <c r="CT161" s="13603"/>
      <c r="CU161" s="13604"/>
      <c r="CV161" s="13605"/>
      <c r="CW161" s="13606"/>
      <c r="CX161" s="13607"/>
      <c r="CY161" s="13608"/>
      <c r="CZ161" s="13609"/>
      <c r="DA161" s="13610"/>
      <c r="DB161" s="13611"/>
      <c r="DC161" s="13612"/>
      <c r="DD161" s="13613"/>
      <c r="DE161" s="13614"/>
      <c r="DF161" s="13615"/>
      <c r="DG161" s="13616"/>
      <c r="DH161" s="13617"/>
      <c r="DI161" s="13618"/>
      <c r="DJ161" s="13619"/>
      <c r="DK161" s="13620"/>
      <c r="DL161" s="13621"/>
      <c r="DM161" s="13622"/>
      <c r="DN161" s="13623"/>
      <c r="DO161" s="13624"/>
      <c r="DP161" s="13625"/>
      <c r="DQ161" s="13626"/>
      <c r="DR161" s="13627"/>
      <c r="DS161" s="9769"/>
      <c r="DT161" s="10065"/>
      <c r="DU161" s="10065" t="str">
        <f>IF(T161="","",T161)</f>
        <v>Добавить наименование признака дифференциации</v>
      </c>
      <c r="DV161" s="10065"/>
      <c r="DW161" s="10065"/>
    </row>
    <row s="21047" customFormat="1" customHeight="1" ht="14.25">
      <c r="A162" s="10411"/>
      <c r="B162" s="10411"/>
      <c r="C162" s="10411"/>
      <c r="D162" s="10411"/>
      <c r="E162" s="10053"/>
      <c r="F162" s="10054" t="s">
        <v>141</v>
      </c>
      <c r="G162" s="10411"/>
      <c r="H162" s="10411"/>
      <c r="I162" s="10411"/>
      <c r="J162" s="10411"/>
      <c r="K162" s="10411"/>
      <c r="L162" s="10412"/>
      <c r="M162" s="10413"/>
      <c r="N162" s="10413"/>
      <c r="O162" s="9769"/>
      <c r="P162" s="10414"/>
      <c r="Q162" s="10415"/>
      <c r="R162" s="10414"/>
      <c r="S162" s="10416"/>
      <c r="T162" s="10417" t="s">
        <v>305</v>
      </c>
      <c r="U162" s="9751"/>
      <c r="V162" s="9751"/>
      <c r="W162" s="9751"/>
      <c r="X162" s="9751"/>
      <c r="Y162" s="9751"/>
      <c r="Z162" s="9751"/>
      <c r="AA162" s="9751"/>
      <c r="AB162" s="9751"/>
      <c r="AC162" s="9751"/>
      <c r="AD162" s="9751"/>
      <c r="AE162" s="9751"/>
      <c r="AF162" s="9751"/>
      <c r="AG162" s="9751"/>
      <c r="AH162" s="9751"/>
      <c r="AI162" s="9751"/>
      <c r="AJ162" s="9751"/>
      <c r="AK162" s="9751"/>
      <c r="AL162" s="9751"/>
      <c r="AM162" s="9751"/>
      <c r="AN162" s="9751"/>
      <c r="AO162" s="9751"/>
      <c r="AP162" s="9751"/>
      <c r="AQ162" s="9751"/>
      <c r="AR162" s="9751"/>
      <c r="AS162" s="9751"/>
      <c r="AT162" s="9751"/>
      <c r="AU162" s="9751"/>
      <c r="AV162" s="9751"/>
      <c r="AW162" s="9751"/>
      <c r="AX162" s="9751"/>
      <c r="AY162" s="9751"/>
      <c r="AZ162" s="9751"/>
      <c r="BA162" s="9751"/>
      <c r="BB162" s="9751"/>
      <c r="BC162" s="9751"/>
      <c r="BD162" s="9751"/>
      <c r="BE162" s="9751"/>
      <c r="BF162" s="9751"/>
      <c r="BG162" s="9751"/>
      <c r="BH162" s="9751"/>
      <c r="BI162" s="9751"/>
      <c r="BJ162" s="9751"/>
      <c r="BK162" s="9751"/>
      <c r="BL162" s="9751"/>
      <c r="BM162" s="9751"/>
      <c r="BN162" s="9751"/>
      <c r="BO162" s="9751"/>
      <c r="BP162" s="9751"/>
      <c r="BQ162" s="9751"/>
      <c r="BR162" s="9751"/>
      <c r="BS162" s="9751"/>
      <c r="BT162" s="9751"/>
      <c r="BU162" s="9751"/>
      <c r="BV162" s="9751"/>
      <c r="BW162" s="9751"/>
      <c r="BX162" s="9751"/>
      <c r="BY162" s="9751"/>
      <c r="BZ162" s="9751"/>
      <c r="CA162" s="9751"/>
      <c r="CB162" s="9751"/>
      <c r="CC162" s="9751"/>
      <c r="CD162" s="9751"/>
      <c r="CE162" s="9751"/>
      <c r="CF162" s="9751"/>
      <c r="CG162" s="9751"/>
      <c r="CH162" s="9751"/>
      <c r="CI162" s="9751"/>
      <c r="CJ162" s="9751"/>
      <c r="CK162" s="9751"/>
      <c r="CL162" s="9751"/>
      <c r="CM162" s="9751"/>
      <c r="CN162" s="9751"/>
      <c r="CO162" s="9751"/>
      <c r="CP162" s="9751"/>
      <c r="CQ162" s="9751"/>
      <c r="CR162" s="9751"/>
      <c r="CS162" s="9751"/>
      <c r="CT162" s="10418"/>
      <c r="CU162" s="9751"/>
      <c r="CV162" s="9751"/>
      <c r="CW162" s="9751"/>
      <c r="CX162" s="9751"/>
      <c r="CY162" s="9751"/>
      <c r="CZ162" s="9751"/>
      <c r="DA162" s="9751"/>
      <c r="DB162" s="9751"/>
      <c r="DC162" s="9751"/>
      <c r="DD162" s="9751"/>
      <c r="DE162" s="9751"/>
      <c r="DF162" s="9751"/>
      <c r="DG162" s="9751"/>
      <c r="DH162" s="9751"/>
      <c r="DI162" s="9751"/>
      <c r="DJ162" s="9751"/>
      <c r="DK162" s="9751"/>
      <c r="DL162" s="9751"/>
      <c r="DM162" s="9751"/>
      <c r="DN162" s="9751"/>
      <c r="DO162" s="9751"/>
      <c r="DP162" s="9751"/>
      <c r="DQ162" s="9751"/>
      <c r="DR162" s="9751"/>
      <c r="DS162" s="9769"/>
      <c r="DT162" s="10065"/>
      <c r="DU162" s="10065" t="str">
        <f>IF(T162="","",T162)</f>
        <v>Добавить централизованную систему для дифференциации</v>
      </c>
      <c r="DV162" s="10065"/>
      <c r="DW162" s="10065"/>
    </row>
    <row s="21048" customFormat="1" customHeight="1" ht="23.25">
      <c r="A163" s="10052"/>
      <c r="B163" s="10052" t="s">
        <v>351</v>
      </c>
      <c r="C163" s="10052"/>
      <c r="D163" s="10052"/>
      <c r="E163" s="10053"/>
      <c r="F163" s="10054" t="s">
        <v>151</v>
      </c>
      <c r="G163" s="10052"/>
      <c r="H163" s="10052"/>
      <c r="I163" s="10052"/>
      <c r="J163" s="10052"/>
      <c r="K163" s="10052"/>
      <c r="L163" s="10055"/>
      <c r="M163" s="10056"/>
      <c r="N163" s="10056"/>
      <c r="O163" s="10056"/>
      <c r="P163" s="10057"/>
      <c r="Q163" s="10058"/>
      <c r="R163" s="10059"/>
      <c r="S163" s="10060" t="str">
        <f>INDEX(PT_DIFFERENTIATION_NUM_TER,MATCH(B163,PT_DIFFERENTIATION_TER_ID,0))</f>
        <v>1.13</v>
      </c>
      <c r="T163" s="10061" t="s">
        <v>503</v>
      </c>
      <c r="U163" s="10062"/>
      <c r="V163" s="9494"/>
      <c r="W163" s="9495"/>
      <c r="X163" s="9495"/>
      <c r="Y163" s="9495"/>
      <c r="Z163" s="9495"/>
      <c r="AA163" s="9495"/>
      <c r="AB163" s="9495"/>
      <c r="AC163" s="9495"/>
      <c r="AD163" s="9495"/>
      <c r="AE163" s="9495"/>
      <c r="AF163" s="9496"/>
      <c r="AG163" s="9494" t="str">
        <f>INDEX(PT_DIFFERENTIATION_TER,MATCH(B163,PT_DIFFERENTIATION_TER_ID,0))</f>
        <v>Территория 13</v>
      </c>
      <c r="AH163" s="9495"/>
      <c r="AI163" s="9495"/>
      <c r="AJ163" s="9495"/>
      <c r="AK163" s="9495"/>
      <c r="AL163" s="9495"/>
      <c r="AM163" s="9495"/>
      <c r="AN163" s="9495"/>
      <c r="AO163" s="9495"/>
      <c r="AP163" s="9495"/>
      <c r="AQ163" s="9495"/>
      <c r="AR163" s="9494"/>
      <c r="AS163" s="9495"/>
      <c r="AT163" s="9495"/>
      <c r="AU163" s="9495"/>
      <c r="AV163" s="9495"/>
      <c r="AW163" s="9495"/>
      <c r="AX163" s="9495"/>
      <c r="AY163" s="9495"/>
      <c r="AZ163" s="9495"/>
      <c r="BA163" s="9495"/>
      <c r="BB163" s="9496"/>
      <c r="BC163" s="9494"/>
      <c r="BD163" s="9495"/>
      <c r="BE163" s="9495"/>
      <c r="BF163" s="9495"/>
      <c r="BG163" s="9495"/>
      <c r="BH163" s="9495"/>
      <c r="BI163" s="9495"/>
      <c r="BJ163" s="9495"/>
      <c r="BK163" s="9495"/>
      <c r="BL163" s="9495"/>
      <c r="BM163" s="9496"/>
      <c r="BN163" s="9494"/>
      <c r="BO163" s="9495"/>
      <c r="BP163" s="9495"/>
      <c r="BQ163" s="9495"/>
      <c r="BR163" s="9495"/>
      <c r="BS163" s="9495"/>
      <c r="BT163" s="9495"/>
      <c r="BU163" s="9495"/>
      <c r="BV163" s="9495"/>
      <c r="BW163" s="9495"/>
      <c r="BX163" s="9496"/>
      <c r="BY163" s="9494"/>
      <c r="BZ163" s="9495"/>
      <c r="CA163" s="9495"/>
      <c r="CB163" s="9495"/>
      <c r="CC163" s="9495"/>
      <c r="CD163" s="9495"/>
      <c r="CE163" s="9495"/>
      <c r="CF163" s="9495"/>
      <c r="CG163" s="9495"/>
      <c r="CH163" s="9495"/>
      <c r="CI163" s="9496"/>
      <c r="CJ163" s="9494"/>
      <c r="CK163" s="9495"/>
      <c r="CL163" s="9495"/>
      <c r="CM163" s="9495"/>
      <c r="CN163" s="9495"/>
      <c r="CO163" s="9495"/>
      <c r="CP163" s="9495"/>
      <c r="CQ163" s="9495"/>
      <c r="CR163" s="9495"/>
      <c r="CS163" s="9495"/>
      <c r="CT163" s="10063"/>
      <c r="CU163" s="9494"/>
      <c r="CV163" s="9495"/>
      <c r="CW163" s="9495"/>
      <c r="CX163" s="9495"/>
      <c r="CY163" s="9495"/>
      <c r="CZ163" s="9495"/>
      <c r="DA163" s="9495"/>
      <c r="DB163" s="9495"/>
      <c r="DC163" s="9495"/>
      <c r="DD163" s="9495"/>
      <c r="DE163" s="9496"/>
      <c r="DF163" s="9494"/>
      <c r="DG163" s="9495"/>
      <c r="DH163" s="9495"/>
      <c r="DI163" s="9495"/>
      <c r="DJ163" s="9495"/>
      <c r="DK163" s="9495"/>
      <c r="DL163" s="9495"/>
      <c r="DM163" s="9495"/>
      <c r="DN163" s="9495"/>
      <c r="DO163" s="9495"/>
      <c r="DP163" s="9496"/>
      <c r="DQ163" s="9496"/>
      <c r="DR163" s="10064" t="s">
        <v>504</v>
      </c>
      <c r="DS163" s="9769"/>
      <c r="DT163" s="10065"/>
      <c r="DU163" s="10065" t="str">
        <f>IF(T163="","",T163)</f>
        <v>Территория действия тарифа</v>
      </c>
      <c r="DV163" s="10065"/>
      <c r="DW163" s="10065"/>
    </row>
    <row s="21049" customFormat="1" customHeight="1" ht="23.25">
      <c r="A164" s="10052"/>
      <c r="B164" s="10052"/>
      <c r="C164" s="10052" t="s">
        <v>352</v>
      </c>
      <c r="D164" s="10052"/>
      <c r="E164" s="10053"/>
      <c r="F164" s="10053" t="s">
        <v>147</v>
      </c>
      <c r="G164" s="10054">
        <v>1</v>
      </c>
      <c r="H164" s="10052"/>
      <c r="I164" s="10052"/>
      <c r="J164" s="10052"/>
      <c r="K164" s="10052"/>
      <c r="L164" s="10055"/>
      <c r="M164" s="10056"/>
      <c r="N164" s="10056"/>
      <c r="O164" s="10056"/>
      <c r="P164" s="10067"/>
      <c r="Q164" s="10058"/>
      <c r="R164" s="10059"/>
      <c r="S164" s="10060" t="str">
        <f>INDEX(PT_DIFFERENTIATION_NUM_CS,MATCH(C164,PT_DIFFERENTIATION_CS_ID,0))</f>
        <v>1.13.1</v>
      </c>
      <c r="T164" s="10068" t="s">
        <v>634</v>
      </c>
      <c r="U164" s="10062"/>
      <c r="V164" s="9494"/>
      <c r="W164" s="9495"/>
      <c r="X164" s="9495"/>
      <c r="Y164" s="9495"/>
      <c r="Z164" s="9495"/>
      <c r="AA164" s="9495"/>
      <c r="AB164" s="9495"/>
      <c r="AC164" s="9495"/>
      <c r="AD164" s="9495"/>
      <c r="AE164" s="9495"/>
      <c r="AF164" s="9496"/>
      <c r="AG164" s="9494" t="str">
        <f>INDEX(PT_DIFFERENTIATION_CS,MATCH(C164,PT_DIFFERENTIATION_CS_ID,0))</f>
        <v>с. Майское</v>
      </c>
      <c r="AH164" s="9495"/>
      <c r="AI164" s="9495"/>
      <c r="AJ164" s="9495"/>
      <c r="AK164" s="9495"/>
      <c r="AL164" s="9495"/>
      <c r="AM164" s="9495"/>
      <c r="AN164" s="9495"/>
      <c r="AO164" s="9495"/>
      <c r="AP164" s="9495"/>
      <c r="AQ164" s="9495"/>
      <c r="AR164" s="9494"/>
      <c r="AS164" s="9495"/>
      <c r="AT164" s="9495"/>
      <c r="AU164" s="9495"/>
      <c r="AV164" s="9495"/>
      <c r="AW164" s="9495"/>
      <c r="AX164" s="9495"/>
      <c r="AY164" s="9495"/>
      <c r="AZ164" s="9495"/>
      <c r="BA164" s="9495"/>
      <c r="BB164" s="9496"/>
      <c r="BC164" s="9494"/>
      <c r="BD164" s="9495"/>
      <c r="BE164" s="9495"/>
      <c r="BF164" s="9495"/>
      <c r="BG164" s="9495"/>
      <c r="BH164" s="9495"/>
      <c r="BI164" s="9495"/>
      <c r="BJ164" s="9495"/>
      <c r="BK164" s="9495"/>
      <c r="BL164" s="9495"/>
      <c r="BM164" s="9496"/>
      <c r="BN164" s="9494"/>
      <c r="BO164" s="9495"/>
      <c r="BP164" s="9495"/>
      <c r="BQ164" s="9495"/>
      <c r="BR164" s="9495"/>
      <c r="BS164" s="9495"/>
      <c r="BT164" s="9495"/>
      <c r="BU164" s="9495"/>
      <c r="BV164" s="9495"/>
      <c r="BW164" s="9495"/>
      <c r="BX164" s="9496"/>
      <c r="BY164" s="9494"/>
      <c r="BZ164" s="9495"/>
      <c r="CA164" s="9495"/>
      <c r="CB164" s="9495"/>
      <c r="CC164" s="9495"/>
      <c r="CD164" s="9495"/>
      <c r="CE164" s="9495"/>
      <c r="CF164" s="9495"/>
      <c r="CG164" s="9495"/>
      <c r="CH164" s="9495"/>
      <c r="CI164" s="9496"/>
      <c r="CJ164" s="9494"/>
      <c r="CK164" s="9495"/>
      <c r="CL164" s="9495"/>
      <c r="CM164" s="9495"/>
      <c r="CN164" s="9495"/>
      <c r="CO164" s="9495"/>
      <c r="CP164" s="9495"/>
      <c r="CQ164" s="9495"/>
      <c r="CR164" s="9495"/>
      <c r="CS164" s="9495"/>
      <c r="CT164" s="10063"/>
      <c r="CU164" s="9494"/>
      <c r="CV164" s="9495"/>
      <c r="CW164" s="9495"/>
      <c r="CX164" s="9495"/>
      <c r="CY164" s="9495"/>
      <c r="CZ164" s="9495"/>
      <c r="DA164" s="9495"/>
      <c r="DB164" s="9495"/>
      <c r="DC164" s="9495"/>
      <c r="DD164" s="9495"/>
      <c r="DE164" s="9496"/>
      <c r="DF164" s="9494"/>
      <c r="DG164" s="9495"/>
      <c r="DH164" s="9495"/>
      <c r="DI164" s="9495"/>
      <c r="DJ164" s="9495"/>
      <c r="DK164" s="9495"/>
      <c r="DL164" s="9495"/>
      <c r="DM164" s="9495"/>
      <c r="DN164" s="9495"/>
      <c r="DO164" s="9495"/>
      <c r="DP164" s="9496"/>
      <c r="DQ164" s="9496"/>
      <c r="DR164" s="10064" t="s">
        <v>635</v>
      </c>
      <c r="DS164" s="9769"/>
      <c r="DT164" s="10065"/>
      <c r="DU164" s="10065" t="str">
        <f>IF(T164="","",T164)</f>
        <v>Наименование централизованной системы горячего водоснабжения</v>
      </c>
      <c r="DV164" s="10065"/>
      <c r="DW164" s="10065"/>
    </row>
    <row s="21050" customFormat="1" customHeight="1" ht="23.25">
      <c r="A165" s="10052"/>
      <c r="B165" s="10052"/>
      <c r="C165" s="10052"/>
      <c r="D165" s="10052"/>
      <c r="E165" s="10053"/>
      <c r="F165" s="10053" t="s">
        <v>147</v>
      </c>
      <c r="G165" s="10053"/>
      <c r="H165" s="10053"/>
      <c r="I165" s="10070" t="str">
        <f>S164&amp;".1"</f>
        <v>1.13.1.1</v>
      </c>
      <c r="J165" s="10052"/>
      <c r="K165" s="10052"/>
      <c r="L165" s="10055"/>
      <c r="M165" s="10071"/>
      <c r="N165" s="10071"/>
      <c r="O165" s="10071"/>
      <c r="P165" s="10072">
        <v>1</v>
      </c>
      <c r="Q165" s="10072"/>
      <c r="R165" s="10073"/>
      <c r="S165" s="10060" t="str">
        <f>$I165</f>
        <v>1.13.1.1</v>
      </c>
      <c r="T165" s="10074" t="s">
        <v>587</v>
      </c>
      <c r="U165" s="10062"/>
      <c r="V165" s="9500"/>
      <c r="W165" s="9501"/>
      <c r="X165" s="9501"/>
      <c r="Y165" s="9501"/>
      <c r="Z165" s="9501"/>
      <c r="AA165" s="9501"/>
      <c r="AB165" s="9501"/>
      <c r="AC165" s="9501"/>
      <c r="AD165" s="9501"/>
      <c r="AE165" s="9501"/>
      <c r="AF165" s="9502"/>
      <c r="AG165" s="10075"/>
      <c r="AH165" s="10076"/>
      <c r="AI165" s="10076"/>
      <c r="AJ165" s="10076"/>
      <c r="AK165" s="10076"/>
      <c r="AL165" s="10076"/>
      <c r="AM165" s="10076"/>
      <c r="AN165" s="10076"/>
      <c r="AO165" s="10076"/>
      <c r="AP165" s="10076"/>
      <c r="AQ165" s="10076"/>
      <c r="AR165" s="9500"/>
      <c r="AS165" s="9501"/>
      <c r="AT165" s="9501"/>
      <c r="AU165" s="9501"/>
      <c r="AV165" s="9501"/>
      <c r="AW165" s="9501"/>
      <c r="AX165" s="9501"/>
      <c r="AY165" s="9501"/>
      <c r="AZ165" s="9501"/>
      <c r="BA165" s="9501"/>
      <c r="BB165" s="9502"/>
      <c r="BC165" s="9500"/>
      <c r="BD165" s="9501"/>
      <c r="BE165" s="9501"/>
      <c r="BF165" s="9501"/>
      <c r="BG165" s="9501"/>
      <c r="BH165" s="9501"/>
      <c r="BI165" s="9501"/>
      <c r="BJ165" s="9501"/>
      <c r="BK165" s="9501"/>
      <c r="BL165" s="9501"/>
      <c r="BM165" s="9502"/>
      <c r="BN165" s="9500"/>
      <c r="BO165" s="9501"/>
      <c r="BP165" s="9501"/>
      <c r="BQ165" s="9501"/>
      <c r="BR165" s="9501"/>
      <c r="BS165" s="9501"/>
      <c r="BT165" s="9501"/>
      <c r="BU165" s="9501"/>
      <c r="BV165" s="9501"/>
      <c r="BW165" s="9501"/>
      <c r="BX165" s="9502"/>
      <c r="BY165" s="9500"/>
      <c r="BZ165" s="9501"/>
      <c r="CA165" s="9501"/>
      <c r="CB165" s="9501"/>
      <c r="CC165" s="9501"/>
      <c r="CD165" s="9501"/>
      <c r="CE165" s="9501"/>
      <c r="CF165" s="9501"/>
      <c r="CG165" s="9501"/>
      <c r="CH165" s="9501"/>
      <c r="CI165" s="9502"/>
      <c r="CJ165" s="9500"/>
      <c r="CK165" s="9501"/>
      <c r="CL165" s="9501"/>
      <c r="CM165" s="9501"/>
      <c r="CN165" s="9501"/>
      <c r="CO165" s="9501"/>
      <c r="CP165" s="9501"/>
      <c r="CQ165" s="9501"/>
      <c r="CR165" s="9501"/>
      <c r="CS165" s="9501"/>
      <c r="CT165" s="10077"/>
      <c r="CU165" s="9500"/>
      <c r="CV165" s="9501"/>
      <c r="CW165" s="9501"/>
      <c r="CX165" s="9501"/>
      <c r="CY165" s="9501"/>
      <c r="CZ165" s="9501"/>
      <c r="DA165" s="9501"/>
      <c r="DB165" s="9501"/>
      <c r="DC165" s="9501"/>
      <c r="DD165" s="9501"/>
      <c r="DE165" s="9502"/>
      <c r="DF165" s="9500"/>
      <c r="DG165" s="9501"/>
      <c r="DH165" s="9501"/>
      <c r="DI165" s="9501"/>
      <c r="DJ165" s="9501"/>
      <c r="DK165" s="9501"/>
      <c r="DL165" s="9501"/>
      <c r="DM165" s="9501"/>
      <c r="DN165" s="9501"/>
      <c r="DO165" s="9501"/>
      <c r="DP165" s="9502"/>
      <c r="DQ165" s="10078"/>
      <c r="DR165" s="10064" t="s">
        <v>588</v>
      </c>
      <c r="DS165" s="9769"/>
      <c r="DT165" s="10065"/>
      <c r="DU165" s="10065" t="str">
        <f>IF(T165="","",T165)</f>
        <v>Наименование признака дифференциации</v>
      </c>
      <c r="DV165" s="10065"/>
      <c r="DW165" s="10065"/>
    </row>
    <row s="21051" customFormat="1" customHeight="1" ht="23.25">
      <c r="A166" s="10052"/>
      <c r="B166" s="10052"/>
      <c r="C166" s="10052"/>
      <c r="D166" s="10052"/>
      <c r="E166" s="10053"/>
      <c r="F166" s="10053" t="s">
        <v>147</v>
      </c>
      <c r="G166" s="10053"/>
      <c r="H166" s="10053"/>
      <c r="I166" s="10080"/>
      <c r="J166" s="10070" t="str">
        <f>I165&amp;".1"</f>
        <v>1.13.1.1.1</v>
      </c>
      <c r="K166" s="10052"/>
      <c r="L166" s="10055" t="s">
        <v>512</v>
      </c>
      <c r="M166" s="10071"/>
      <c r="N166" s="10071"/>
      <c r="O166" s="10071"/>
      <c r="P166" s="10072"/>
      <c r="Q166" s="10072">
        <v>1</v>
      </c>
      <c r="R166" s="10081"/>
      <c r="S166" s="10060" t="str">
        <f>$J166</f>
        <v>1.13.1.1.1</v>
      </c>
      <c r="T166" s="10082" t="s">
        <v>513</v>
      </c>
      <c r="U166" s="10062"/>
      <c r="V166" s="9506"/>
      <c r="W166" s="9507"/>
      <c r="X166" s="9507"/>
      <c r="Y166" s="9507"/>
      <c r="Z166" s="9507"/>
      <c r="AA166" s="9507"/>
      <c r="AB166" s="9507"/>
      <c r="AC166" s="9507"/>
      <c r="AD166" s="9507"/>
      <c r="AE166" s="9507"/>
      <c r="AF166" s="9508"/>
      <c r="AG166" s="9506" t="s">
        <v>647</v>
      </c>
      <c r="AH166" s="9507"/>
      <c r="AI166" s="9507"/>
      <c r="AJ166" s="9507"/>
      <c r="AK166" s="9507"/>
      <c r="AL166" s="9507"/>
      <c r="AM166" s="9507"/>
      <c r="AN166" s="9507"/>
      <c r="AO166" s="9507"/>
      <c r="AP166" s="9507"/>
      <c r="AQ166" s="9507"/>
      <c r="AR166" s="9506"/>
      <c r="AS166" s="9507"/>
      <c r="AT166" s="9507"/>
      <c r="AU166" s="9507"/>
      <c r="AV166" s="9507"/>
      <c r="AW166" s="9507"/>
      <c r="AX166" s="9507"/>
      <c r="AY166" s="9507"/>
      <c r="AZ166" s="9507"/>
      <c r="BA166" s="9507"/>
      <c r="BB166" s="9508"/>
      <c r="BC166" s="9506"/>
      <c r="BD166" s="9507"/>
      <c r="BE166" s="9507"/>
      <c r="BF166" s="9507"/>
      <c r="BG166" s="9507"/>
      <c r="BH166" s="9507"/>
      <c r="BI166" s="9507"/>
      <c r="BJ166" s="9507"/>
      <c r="BK166" s="9507"/>
      <c r="BL166" s="9507"/>
      <c r="BM166" s="9508"/>
      <c r="BN166" s="9506"/>
      <c r="BO166" s="9507"/>
      <c r="BP166" s="9507"/>
      <c r="BQ166" s="9507"/>
      <c r="BR166" s="9507"/>
      <c r="BS166" s="9507"/>
      <c r="BT166" s="9507"/>
      <c r="BU166" s="9507"/>
      <c r="BV166" s="9507"/>
      <c r="BW166" s="9507"/>
      <c r="BX166" s="9508"/>
      <c r="BY166" s="9506"/>
      <c r="BZ166" s="9507"/>
      <c r="CA166" s="9507"/>
      <c r="CB166" s="9507"/>
      <c r="CC166" s="9507"/>
      <c r="CD166" s="9507"/>
      <c r="CE166" s="9507"/>
      <c r="CF166" s="9507"/>
      <c r="CG166" s="9507"/>
      <c r="CH166" s="9507"/>
      <c r="CI166" s="9508"/>
      <c r="CJ166" s="9506"/>
      <c r="CK166" s="9507"/>
      <c r="CL166" s="9507"/>
      <c r="CM166" s="9507"/>
      <c r="CN166" s="9507"/>
      <c r="CO166" s="9507"/>
      <c r="CP166" s="9507"/>
      <c r="CQ166" s="9507"/>
      <c r="CR166" s="9507"/>
      <c r="CS166" s="9507"/>
      <c r="CT166" s="10083"/>
      <c r="CU166" s="9506"/>
      <c r="CV166" s="9507"/>
      <c r="CW166" s="9507"/>
      <c r="CX166" s="9507"/>
      <c r="CY166" s="9507"/>
      <c r="CZ166" s="9507"/>
      <c r="DA166" s="9507"/>
      <c r="DB166" s="9507"/>
      <c r="DC166" s="9507"/>
      <c r="DD166" s="9507"/>
      <c r="DE166" s="9508"/>
      <c r="DF166" s="9506"/>
      <c r="DG166" s="9507"/>
      <c r="DH166" s="9507"/>
      <c r="DI166" s="9507"/>
      <c r="DJ166" s="9507"/>
      <c r="DK166" s="9507"/>
      <c r="DL166" s="9507"/>
      <c r="DM166" s="9507"/>
      <c r="DN166" s="9507"/>
      <c r="DO166" s="9507"/>
      <c r="DP166" s="9508"/>
      <c r="DQ166" s="9508"/>
      <c r="DR166" s="10084" t="s">
        <v>589</v>
      </c>
      <c r="DS166" s="9769"/>
      <c r="DT166" s="10065"/>
      <c r="DU166" s="10065" t="str">
        <f>IF(T166="","",T166)</f>
        <v>Группа потребителей</v>
      </c>
      <c r="DV166" s="10065"/>
      <c r="DW166" s="10065"/>
    </row>
    <row s="21052" customFormat="1" customHeight="1" ht="23.25">
      <c r="A167" s="10052"/>
      <c r="B167" s="10052"/>
      <c r="C167" s="10052"/>
      <c r="D167" s="10052"/>
      <c r="E167" s="10053"/>
      <c r="F167" s="10053" t="s">
        <v>147</v>
      </c>
      <c r="G167" s="10053"/>
      <c r="H167" s="10053"/>
      <c r="I167" s="10080"/>
      <c r="J167" s="10080"/>
      <c r="K167" s="10070" t="str">
        <f>J166&amp;".1"</f>
        <v>1.13.1.1.1.1</v>
      </c>
      <c r="L167" s="10055"/>
      <c r="M167" s="10071"/>
      <c r="N167" s="10071"/>
      <c r="O167" s="10071"/>
      <c r="P167" s="10072"/>
      <c r="Q167" s="10072"/>
      <c r="R167" s="10081">
        <v>1</v>
      </c>
      <c r="S167" s="10060" t="str">
        <f>$K167</f>
        <v>1.13.1.1.1.1</v>
      </c>
      <c r="T167" s="10086"/>
      <c r="U167" s="10062"/>
      <c r="V167" s="9512"/>
      <c r="W167" s="9512"/>
      <c r="X167" s="9512"/>
      <c r="Y167" s="9512"/>
      <c r="Z167" s="9512"/>
      <c r="AA167" s="9512"/>
      <c r="AB167" s="9512"/>
      <c r="AC167" s="9513"/>
      <c r="AD167" s="9514" t="s">
        <v>63</v>
      </c>
      <c r="AE167" s="9513"/>
      <c r="AF167" s="9514" t="s">
        <v>63</v>
      </c>
      <c r="AG167" s="9512">
        <v>383.53</v>
      </c>
      <c r="AH167" s="9512"/>
      <c r="AI167" s="9512"/>
      <c r="AJ167" s="9512"/>
      <c r="AK167" s="9512"/>
      <c r="AL167" s="9512"/>
      <c r="AM167" s="9512"/>
      <c r="AN167" s="9513">
        <v>45658.624930555554</v>
      </c>
      <c r="AO167" s="9514" t="s">
        <v>63</v>
      </c>
      <c r="AP167" s="9817">
        <v>45838.6250462963</v>
      </c>
      <c r="AQ167" s="9514" t="s">
        <v>63</v>
      </c>
      <c r="AR167" s="9512">
        <v>564.99</v>
      </c>
      <c r="AS167" s="9512"/>
      <c r="AT167" s="9512"/>
      <c r="AU167" s="9512"/>
      <c r="AV167" s="9512"/>
      <c r="AW167" s="9512"/>
      <c r="AX167" s="9512"/>
      <c r="AY167" s="9513">
        <v>45839.62516203704</v>
      </c>
      <c r="AZ167" s="9514" t="s">
        <v>63</v>
      </c>
      <c r="BA167" s="9513">
        <v>46022.6253125</v>
      </c>
      <c r="BB167" s="9514" t="s">
        <v>63</v>
      </c>
      <c r="BC167" s="9512">
        <v>564.99</v>
      </c>
      <c r="BD167" s="9512"/>
      <c r="BE167" s="9512"/>
      <c r="BF167" s="9512"/>
      <c r="BG167" s="9512"/>
      <c r="BH167" s="9512"/>
      <c r="BI167" s="9512"/>
      <c r="BJ167" s="9513">
        <v>46023.63946759259</v>
      </c>
      <c r="BK167" s="9514" t="s">
        <v>63</v>
      </c>
      <c r="BL167" s="9513">
        <v>46203.63962962963</v>
      </c>
      <c r="BM167" s="9514" t="s">
        <v>63</v>
      </c>
      <c r="BN167" s="9512">
        <v>587.58</v>
      </c>
      <c r="BO167" s="9512"/>
      <c r="BP167" s="9512"/>
      <c r="BQ167" s="9512"/>
      <c r="BR167" s="9512"/>
      <c r="BS167" s="9512"/>
      <c r="BT167" s="9512"/>
      <c r="BU167" s="9513">
        <v>46204.63983796296</v>
      </c>
      <c r="BV167" s="9514" t="s">
        <v>63</v>
      </c>
      <c r="BW167" s="9513">
        <v>46387.63995370371</v>
      </c>
      <c r="BX167" s="9514" t="s">
        <v>63</v>
      </c>
      <c r="BY167" s="9512">
        <v>587.58</v>
      </c>
      <c r="BZ167" s="9512"/>
      <c r="CA167" s="9512"/>
      <c r="CB167" s="9512"/>
      <c r="CC167" s="9512"/>
      <c r="CD167" s="9512"/>
      <c r="CE167" s="9512"/>
      <c r="CF167" s="9513">
        <v>46388.64329861111</v>
      </c>
      <c r="CG167" s="9514" t="s">
        <v>63</v>
      </c>
      <c r="CH167" s="9513">
        <v>46568.64344907407</v>
      </c>
      <c r="CI167" s="9514" t="s">
        <v>63</v>
      </c>
      <c r="CJ167" s="9512">
        <v>611.09</v>
      </c>
      <c r="CK167" s="9512"/>
      <c r="CL167" s="9512"/>
      <c r="CM167" s="9512"/>
      <c r="CN167" s="9512"/>
      <c r="CO167" s="9512"/>
      <c r="CP167" s="9512"/>
      <c r="CQ167" s="9513">
        <v>46569.64628472222</v>
      </c>
      <c r="CR167" s="9514" t="s">
        <v>63</v>
      </c>
      <c r="CS167" s="9513">
        <v>46752.646516203706</v>
      </c>
      <c r="CT167" s="10087" t="s">
        <v>63</v>
      </c>
      <c r="CU167" s="9512">
        <v>611.09</v>
      </c>
      <c r="CV167" s="9512"/>
      <c r="CW167" s="9512"/>
      <c r="CX167" s="9512"/>
      <c r="CY167" s="9512"/>
      <c r="CZ167" s="9512"/>
      <c r="DA167" s="9512"/>
      <c r="DB167" s="9513">
        <v>46753.64984953704</v>
      </c>
      <c r="DC167" s="9514" t="s">
        <v>63</v>
      </c>
      <c r="DD167" s="9513">
        <v>46934.64996527778</v>
      </c>
      <c r="DE167" s="9514" t="s">
        <v>63</v>
      </c>
      <c r="DF167" s="9512">
        <v>635.53</v>
      </c>
      <c r="DG167" s="9512"/>
      <c r="DH167" s="9512"/>
      <c r="DI167" s="9512"/>
      <c r="DJ167" s="9512"/>
      <c r="DK167" s="9512"/>
      <c r="DL167" s="9512"/>
      <c r="DM167" s="9513">
        <v>46935.66337962963</v>
      </c>
      <c r="DN167" s="9514" t="s">
        <v>63</v>
      </c>
      <c r="DO167" s="9513">
        <v>47118.663506944446</v>
      </c>
      <c r="DP167" s="9514" t="s">
        <v>63</v>
      </c>
      <c r="DQ167" s="10088"/>
      <c r="DR167" s="100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S167" s="9769">
        <f>STRCHECKDATE(V168:DQ168)</f>
      </c>
      <c r="DT167" s="10065"/>
      <c r="DU167" s="10065" t="str">
        <f>IF(T167="","",T167)</f>
        <v/>
      </c>
      <c r="DV167" s="10065"/>
      <c r="DW167" s="10065"/>
    </row>
    <row s="21053" customFormat="1" customHeight="1" ht="14.25">
      <c r="A168" s="10052"/>
      <c r="B168" s="10052"/>
      <c r="C168" s="10052"/>
      <c r="D168" s="10052"/>
      <c r="E168" s="10053"/>
      <c r="F168" s="10053" t="s">
        <v>147</v>
      </c>
      <c r="G168" s="10053"/>
      <c r="H168" s="10053"/>
      <c r="I168" s="10080"/>
      <c r="J168" s="10080"/>
      <c r="K168" s="10070"/>
      <c r="L168" s="10055"/>
      <c r="M168" s="10071"/>
      <c r="N168" s="10071"/>
      <c r="O168" s="10071"/>
      <c r="P168" s="10072"/>
      <c r="Q168" s="10072"/>
      <c r="R168" s="10081"/>
      <c r="S168" s="10091"/>
      <c r="T168" s="10062"/>
      <c r="U168" s="10062"/>
      <c r="V168" s="9517"/>
      <c r="W168" s="9517"/>
      <c r="X168" s="9517"/>
      <c r="Y168" s="9517"/>
      <c r="Z168" s="9517"/>
      <c r="AA168" s="9517"/>
      <c r="AB168" s="9517"/>
      <c r="AC168" s="9518"/>
      <c r="AD168" s="9514"/>
      <c r="AE168" s="9518"/>
      <c r="AF168" s="9514"/>
      <c r="AG168" s="9517"/>
      <c r="AH168" s="9517"/>
      <c r="AI168" s="9517"/>
      <c r="AJ168" s="9517"/>
      <c r="AK168" s="9517"/>
      <c r="AL168" s="9517"/>
      <c r="AM168" s="9517"/>
      <c r="AN168" s="9518"/>
      <c r="AO168" s="9514"/>
      <c r="AP168" s="9819"/>
      <c r="AQ168" s="9514"/>
      <c r="AR168" s="9517"/>
      <c r="AS168" s="9517"/>
      <c r="AT168" s="9517"/>
      <c r="AU168" s="9517"/>
      <c r="AV168" s="9517"/>
      <c r="AW168" s="9517"/>
      <c r="AX168" s="9517"/>
      <c r="AY168" s="9518"/>
      <c r="AZ168" s="9514"/>
      <c r="BA168" s="9518"/>
      <c r="BB168" s="9514"/>
      <c r="BC168" s="9517"/>
      <c r="BD168" s="9517"/>
      <c r="BE168" s="9517"/>
      <c r="BF168" s="9517"/>
      <c r="BG168" s="9517"/>
      <c r="BH168" s="9517"/>
      <c r="BI168" s="9517"/>
      <c r="BJ168" s="9518"/>
      <c r="BK168" s="9514"/>
      <c r="BL168" s="9518"/>
      <c r="BM168" s="9514"/>
      <c r="BN168" s="9517"/>
      <c r="BO168" s="9517"/>
      <c r="BP168" s="9517"/>
      <c r="BQ168" s="9517"/>
      <c r="BR168" s="9517"/>
      <c r="BS168" s="9517"/>
      <c r="BT168" s="9517"/>
      <c r="BU168" s="9518"/>
      <c r="BV168" s="9514"/>
      <c r="BW168" s="9518"/>
      <c r="BX168" s="9514"/>
      <c r="BY168" s="9517"/>
      <c r="BZ168" s="9517"/>
      <c r="CA168" s="9517"/>
      <c r="CB168" s="9517"/>
      <c r="CC168" s="9517"/>
      <c r="CD168" s="9517"/>
      <c r="CE168" s="9517"/>
      <c r="CF168" s="9518"/>
      <c r="CG168" s="9514"/>
      <c r="CH168" s="9518"/>
      <c r="CI168" s="9514"/>
      <c r="CJ168" s="9517"/>
      <c r="CK168" s="9517"/>
      <c r="CL168" s="9517"/>
      <c r="CM168" s="9517"/>
      <c r="CN168" s="9517"/>
      <c r="CO168" s="9517"/>
      <c r="CP168" s="9517"/>
      <c r="CQ168" s="9518"/>
      <c r="CR168" s="9514"/>
      <c r="CS168" s="9518"/>
      <c r="CT168" s="10087"/>
      <c r="CU168" s="9517"/>
      <c r="CV168" s="9517"/>
      <c r="CW168" s="9517"/>
      <c r="CX168" s="9517"/>
      <c r="CY168" s="9517"/>
      <c r="CZ168" s="9517"/>
      <c r="DA168" s="9517"/>
      <c r="DB168" s="9518"/>
      <c r="DC168" s="9514"/>
      <c r="DD168" s="9518"/>
      <c r="DE168" s="9514"/>
      <c r="DF168" s="9517"/>
      <c r="DG168" s="9517"/>
      <c r="DH168" s="9517"/>
      <c r="DI168" s="9517"/>
      <c r="DJ168" s="9517"/>
      <c r="DK168" s="9517"/>
      <c r="DL168" s="9517"/>
      <c r="DM168" s="9518"/>
      <c r="DN168" s="9514"/>
      <c r="DO168" s="9518"/>
      <c r="DP168" s="9514"/>
      <c r="DQ168" s="10092"/>
      <c r="DR168" s="10089"/>
      <c r="DS168" s="9769"/>
      <c r="DT168" s="10065"/>
      <c r="DU168" s="10065" t="str">
        <f>IF(T168="","",T168)</f>
        <v/>
      </c>
      <c r="DV168" s="10065"/>
      <c r="DW168" s="10065"/>
    </row>
    <row s="21054" customFormat="1" customHeight="1" ht="21">
      <c r="A169" s="10052"/>
      <c r="B169" s="10052"/>
      <c r="C169" s="10052"/>
      <c r="D169" s="10052"/>
      <c r="E169" s="10053"/>
      <c r="F169" s="10053" t="s">
        <v>147</v>
      </c>
      <c r="G169" s="10053"/>
      <c r="H169" s="10053"/>
      <c r="I169" s="10080"/>
      <c r="J169" s="10070"/>
      <c r="K169" s="10052"/>
      <c r="L169" s="10055"/>
      <c r="M169" s="10071"/>
      <c r="N169" s="10071"/>
      <c r="O169" s="10071"/>
      <c r="P169" s="10072"/>
      <c r="Q169" s="10072"/>
      <c r="R169" s="10073"/>
      <c r="S169" s="13636"/>
      <c r="T169" s="13637" t="s">
        <v>590</v>
      </c>
      <c r="U169" s="13638"/>
      <c r="V169" s="13639"/>
      <c r="W169" s="13640"/>
      <c r="X169" s="13641"/>
      <c r="Y169" s="13642"/>
      <c r="Z169" s="13643"/>
      <c r="AA169" s="13644"/>
      <c r="AB169" s="13645"/>
      <c r="AC169" s="13646"/>
      <c r="AD169" s="13647"/>
      <c r="AE169" s="13648"/>
      <c r="AF169" s="13649"/>
      <c r="AG169" s="13650"/>
      <c r="AH169" s="13651"/>
      <c r="AI169" s="13652"/>
      <c r="AJ169" s="13653"/>
      <c r="AK169" s="13654"/>
      <c r="AL169" s="13655"/>
      <c r="AM169" s="13656"/>
      <c r="AN169" s="13657"/>
      <c r="AO169" s="13658"/>
      <c r="AP169" s="13659"/>
      <c r="AQ169" s="13660"/>
      <c r="AR169" s="13661"/>
      <c r="AS169" s="13662"/>
      <c r="AT169" s="13663"/>
      <c r="AU169" s="13664"/>
      <c r="AV169" s="13665"/>
      <c r="AW169" s="13666"/>
      <c r="AX169" s="13667"/>
      <c r="AY169" s="13668"/>
      <c r="AZ169" s="13669"/>
      <c r="BA169" s="13670"/>
      <c r="BB169" s="13671"/>
      <c r="BC169" s="13672"/>
      <c r="BD169" s="13673"/>
      <c r="BE169" s="13674"/>
      <c r="BF169" s="13675"/>
      <c r="BG169" s="13676"/>
      <c r="BH169" s="13677"/>
      <c r="BI169" s="13678"/>
      <c r="BJ169" s="13679"/>
      <c r="BK169" s="13680"/>
      <c r="BL169" s="13681"/>
      <c r="BM169" s="13682"/>
      <c r="BN169" s="13683"/>
      <c r="BO169" s="13684"/>
      <c r="BP169" s="13685"/>
      <c r="BQ169" s="13686"/>
      <c r="BR169" s="13687"/>
      <c r="BS169" s="13688"/>
      <c r="BT169" s="13689"/>
      <c r="BU169" s="13690"/>
      <c r="BV169" s="13691"/>
      <c r="BW169" s="13692"/>
      <c r="BX169" s="13693"/>
      <c r="BY169" s="13694"/>
      <c r="BZ169" s="13695"/>
      <c r="CA169" s="13696"/>
      <c r="CB169" s="13697"/>
      <c r="CC169" s="13698"/>
      <c r="CD169" s="13699"/>
      <c r="CE169" s="13700"/>
      <c r="CF169" s="13701"/>
      <c r="CG169" s="13702"/>
      <c r="CH169" s="13703"/>
      <c r="CI169" s="13704"/>
      <c r="CJ169" s="13705"/>
      <c r="CK169" s="13706"/>
      <c r="CL169" s="13707"/>
      <c r="CM169" s="13708"/>
      <c r="CN169" s="13709"/>
      <c r="CO169" s="13710"/>
      <c r="CP169" s="13711"/>
      <c r="CQ169" s="13712"/>
      <c r="CR169" s="13713"/>
      <c r="CS169" s="13714"/>
      <c r="CT169" s="13715"/>
      <c r="CU169" s="13716"/>
      <c r="CV169" s="13717"/>
      <c r="CW169" s="13718"/>
      <c r="CX169" s="13719"/>
      <c r="CY169" s="13720"/>
      <c r="CZ169" s="13721"/>
      <c r="DA169" s="13722"/>
      <c r="DB169" s="13723"/>
      <c r="DC169" s="13724"/>
      <c r="DD169" s="13725"/>
      <c r="DE169" s="13726"/>
      <c r="DF169" s="13727"/>
      <c r="DG169" s="13728"/>
      <c r="DH169" s="13729"/>
      <c r="DI169" s="13730"/>
      <c r="DJ169" s="13731"/>
      <c r="DK169" s="13732"/>
      <c r="DL169" s="13733"/>
      <c r="DM169" s="13734"/>
      <c r="DN169" s="13735"/>
      <c r="DO169" s="13736"/>
      <c r="DP169" s="13737"/>
      <c r="DQ169" s="13738"/>
      <c r="DR169" s="10064" t="s">
        <v>591</v>
      </c>
      <c r="DS169" s="9769"/>
      <c r="DT169" s="10065"/>
      <c r="DU169" s="10065" t="str">
        <f>IF(T169="","",T169)</f>
        <v>Добавить значение признака дифференциации</v>
      </c>
      <c r="DV169" s="10065"/>
      <c r="DW169" s="10065"/>
    </row>
    <row s="21158" customFormat="1" customHeight="1" ht="21">
      <c r="A170" s="10052"/>
      <c r="B170" s="10052"/>
      <c r="C170" s="10052"/>
      <c r="D170" s="10052"/>
      <c r="E170" s="10053"/>
      <c r="F170" s="10053" t="s">
        <v>147</v>
      </c>
      <c r="G170" s="10053"/>
      <c r="H170" s="10053"/>
      <c r="I170" s="10070"/>
      <c r="J170" s="10052"/>
      <c r="K170" s="10052"/>
      <c r="L170" s="10055"/>
      <c r="M170" s="10071"/>
      <c r="N170" s="10071"/>
      <c r="O170" s="10071"/>
      <c r="P170" s="10072"/>
      <c r="Q170" s="10072"/>
      <c r="R170" s="10073"/>
      <c r="S170" s="13740"/>
      <c r="T170" s="13741" t="s">
        <v>518</v>
      </c>
      <c r="U170" s="13742"/>
      <c r="V170" s="13743"/>
      <c r="W170" s="13744"/>
      <c r="X170" s="13745"/>
      <c r="Y170" s="13746"/>
      <c r="Z170" s="13747"/>
      <c r="AA170" s="13748"/>
      <c r="AB170" s="13749"/>
      <c r="AC170" s="13750"/>
      <c r="AD170" s="13751"/>
      <c r="AE170" s="13752"/>
      <c r="AF170" s="13753"/>
      <c r="AG170" s="13754"/>
      <c r="AH170" s="13755"/>
      <c r="AI170" s="13756"/>
      <c r="AJ170" s="13757"/>
      <c r="AK170" s="13758"/>
      <c r="AL170" s="13759"/>
      <c r="AM170" s="13760"/>
      <c r="AN170" s="13761"/>
      <c r="AO170" s="13762"/>
      <c r="AP170" s="13763"/>
      <c r="AQ170" s="13764"/>
      <c r="AR170" s="13765"/>
      <c r="AS170" s="13766"/>
      <c r="AT170" s="13767"/>
      <c r="AU170" s="13768"/>
      <c r="AV170" s="13769"/>
      <c r="AW170" s="13770"/>
      <c r="AX170" s="13771"/>
      <c r="AY170" s="13772"/>
      <c r="AZ170" s="13773"/>
      <c r="BA170" s="13774"/>
      <c r="BB170" s="13775"/>
      <c r="BC170" s="13776"/>
      <c r="BD170" s="13777"/>
      <c r="BE170" s="13778"/>
      <c r="BF170" s="13779"/>
      <c r="BG170" s="13780"/>
      <c r="BH170" s="13781"/>
      <c r="BI170" s="13782"/>
      <c r="BJ170" s="13783"/>
      <c r="BK170" s="13784"/>
      <c r="BL170" s="13785"/>
      <c r="BM170" s="13786"/>
      <c r="BN170" s="13787"/>
      <c r="BO170" s="13788"/>
      <c r="BP170" s="13789"/>
      <c r="BQ170" s="13790"/>
      <c r="BR170" s="13791"/>
      <c r="BS170" s="13792"/>
      <c r="BT170" s="13793"/>
      <c r="BU170" s="13794"/>
      <c r="BV170" s="13795"/>
      <c r="BW170" s="13796"/>
      <c r="BX170" s="13797"/>
      <c r="BY170" s="13798"/>
      <c r="BZ170" s="13799"/>
      <c r="CA170" s="13800"/>
      <c r="CB170" s="13801"/>
      <c r="CC170" s="13802"/>
      <c r="CD170" s="13803"/>
      <c r="CE170" s="13804"/>
      <c r="CF170" s="13805"/>
      <c r="CG170" s="13806"/>
      <c r="CH170" s="13807"/>
      <c r="CI170" s="13808"/>
      <c r="CJ170" s="13809"/>
      <c r="CK170" s="13810"/>
      <c r="CL170" s="13811"/>
      <c r="CM170" s="13812"/>
      <c r="CN170" s="13813"/>
      <c r="CO170" s="13814"/>
      <c r="CP170" s="13815"/>
      <c r="CQ170" s="13816"/>
      <c r="CR170" s="13817"/>
      <c r="CS170" s="13818"/>
      <c r="CT170" s="13819"/>
      <c r="CU170" s="13820"/>
      <c r="CV170" s="13821"/>
      <c r="CW170" s="13822"/>
      <c r="CX170" s="13823"/>
      <c r="CY170" s="13824"/>
      <c r="CZ170" s="13825"/>
      <c r="DA170" s="13826"/>
      <c r="DB170" s="13827"/>
      <c r="DC170" s="13828"/>
      <c r="DD170" s="13829"/>
      <c r="DE170" s="13830"/>
      <c r="DF170" s="13831"/>
      <c r="DG170" s="13832"/>
      <c r="DH170" s="13833"/>
      <c r="DI170" s="13834"/>
      <c r="DJ170" s="13835"/>
      <c r="DK170" s="13836"/>
      <c r="DL170" s="13837"/>
      <c r="DM170" s="13838"/>
      <c r="DN170" s="13839"/>
      <c r="DO170" s="13840"/>
      <c r="DP170" s="13841"/>
      <c r="DQ170" s="13842"/>
      <c r="DR170" s="13843"/>
      <c r="DS170" s="9769"/>
      <c r="DT170" s="10065"/>
      <c r="DU170" s="10065" t="str">
        <f>IF(T170="","",T170)</f>
        <v>Добавить группу потребителей</v>
      </c>
      <c r="DV170" s="10065"/>
      <c r="DW170" s="10065"/>
    </row>
    <row s="21263" customFormat="1" customHeight="1" ht="21">
      <c r="A171" s="10052"/>
      <c r="B171" s="10052"/>
      <c r="C171" s="10052"/>
      <c r="D171" s="10052"/>
      <c r="E171" s="10053"/>
      <c r="F171" s="10053" t="s">
        <v>147</v>
      </c>
      <c r="G171" s="10053"/>
      <c r="H171" s="10054"/>
      <c r="I171" s="10052"/>
      <c r="J171" s="10052"/>
      <c r="K171" s="10052"/>
      <c r="L171" s="10055"/>
      <c r="M171" s="10056"/>
      <c r="N171" s="10056"/>
      <c r="O171" s="9754"/>
      <c r="P171" s="10303"/>
      <c r="Q171" s="10304"/>
      <c r="R171" s="10305"/>
      <c r="S171" s="13845"/>
      <c r="T171" s="13846" t="s">
        <v>592</v>
      </c>
      <c r="U171" s="13847"/>
      <c r="V171" s="13848"/>
      <c r="W171" s="13849"/>
      <c r="X171" s="13850"/>
      <c r="Y171" s="13851"/>
      <c r="Z171" s="13852"/>
      <c r="AA171" s="13853"/>
      <c r="AB171" s="13854"/>
      <c r="AC171" s="13855"/>
      <c r="AD171" s="13856"/>
      <c r="AE171" s="13857"/>
      <c r="AF171" s="13858"/>
      <c r="AG171" s="13859"/>
      <c r="AH171" s="13860"/>
      <c r="AI171" s="13861"/>
      <c r="AJ171" s="13862"/>
      <c r="AK171" s="13863"/>
      <c r="AL171" s="13864"/>
      <c r="AM171" s="13865"/>
      <c r="AN171" s="13866"/>
      <c r="AO171" s="13867"/>
      <c r="AP171" s="13868"/>
      <c r="AQ171" s="13869"/>
      <c r="AR171" s="13870"/>
      <c r="AS171" s="13871"/>
      <c r="AT171" s="13872"/>
      <c r="AU171" s="13873"/>
      <c r="AV171" s="13874"/>
      <c r="AW171" s="13875"/>
      <c r="AX171" s="13876"/>
      <c r="AY171" s="13877"/>
      <c r="AZ171" s="13878"/>
      <c r="BA171" s="13879"/>
      <c r="BB171" s="13880"/>
      <c r="BC171" s="13881"/>
      <c r="BD171" s="13882"/>
      <c r="BE171" s="13883"/>
      <c r="BF171" s="13884"/>
      <c r="BG171" s="13885"/>
      <c r="BH171" s="13886"/>
      <c r="BI171" s="13887"/>
      <c r="BJ171" s="13888"/>
      <c r="BK171" s="13889"/>
      <c r="BL171" s="13890"/>
      <c r="BM171" s="13891"/>
      <c r="BN171" s="13892"/>
      <c r="BO171" s="13893"/>
      <c r="BP171" s="13894"/>
      <c r="BQ171" s="13895"/>
      <c r="BR171" s="13896"/>
      <c r="BS171" s="13897"/>
      <c r="BT171" s="13898"/>
      <c r="BU171" s="13899"/>
      <c r="BV171" s="13900"/>
      <c r="BW171" s="13901"/>
      <c r="BX171" s="13902"/>
      <c r="BY171" s="13903"/>
      <c r="BZ171" s="13904"/>
      <c r="CA171" s="13905"/>
      <c r="CB171" s="13906"/>
      <c r="CC171" s="13907"/>
      <c r="CD171" s="13908"/>
      <c r="CE171" s="13909"/>
      <c r="CF171" s="13910"/>
      <c r="CG171" s="13911"/>
      <c r="CH171" s="13912"/>
      <c r="CI171" s="13913"/>
      <c r="CJ171" s="13914"/>
      <c r="CK171" s="13915"/>
      <c r="CL171" s="13916"/>
      <c r="CM171" s="13917"/>
      <c r="CN171" s="13918"/>
      <c r="CO171" s="13919"/>
      <c r="CP171" s="13920"/>
      <c r="CQ171" s="13921"/>
      <c r="CR171" s="13922"/>
      <c r="CS171" s="13923"/>
      <c r="CT171" s="13924"/>
      <c r="CU171" s="13925"/>
      <c r="CV171" s="13926"/>
      <c r="CW171" s="13927"/>
      <c r="CX171" s="13928"/>
      <c r="CY171" s="13929"/>
      <c r="CZ171" s="13930"/>
      <c r="DA171" s="13931"/>
      <c r="DB171" s="13932"/>
      <c r="DC171" s="13933"/>
      <c r="DD171" s="13934"/>
      <c r="DE171" s="13935"/>
      <c r="DF171" s="13936"/>
      <c r="DG171" s="13937"/>
      <c r="DH171" s="13938"/>
      <c r="DI171" s="13939"/>
      <c r="DJ171" s="13940"/>
      <c r="DK171" s="13941"/>
      <c r="DL171" s="13942"/>
      <c r="DM171" s="13943"/>
      <c r="DN171" s="13944"/>
      <c r="DO171" s="13945"/>
      <c r="DP171" s="13946"/>
      <c r="DQ171" s="13947"/>
      <c r="DR171" s="13948"/>
      <c r="DS171" s="9769"/>
      <c r="DT171" s="10065"/>
      <c r="DU171" s="10065" t="str">
        <f>IF(T171="","",T171)</f>
        <v>Добавить наименование признака дифференциации</v>
      </c>
      <c r="DV171" s="10065"/>
      <c r="DW171" s="10065"/>
    </row>
    <row s="21368" customFormat="1" customHeight="1" ht="14.25">
      <c r="A172" s="10411"/>
      <c r="B172" s="10411"/>
      <c r="C172" s="10411"/>
      <c r="D172" s="10411"/>
      <c r="E172" s="10053"/>
      <c r="F172" s="10054" t="s">
        <v>147</v>
      </c>
      <c r="G172" s="10411"/>
      <c r="H172" s="10411"/>
      <c r="I172" s="10411"/>
      <c r="J172" s="10411"/>
      <c r="K172" s="10411"/>
      <c r="L172" s="10412"/>
      <c r="M172" s="10413"/>
      <c r="N172" s="10413"/>
      <c r="O172" s="9769"/>
      <c r="P172" s="10414"/>
      <c r="Q172" s="10415"/>
      <c r="R172" s="10414"/>
      <c r="S172" s="10416"/>
      <c r="T172" s="10417" t="s">
        <v>305</v>
      </c>
      <c r="U172" s="9751"/>
      <c r="V172" s="9751"/>
      <c r="W172" s="9751"/>
      <c r="X172" s="9751"/>
      <c r="Y172" s="9751"/>
      <c r="Z172" s="9751"/>
      <c r="AA172" s="9751"/>
      <c r="AB172" s="9751"/>
      <c r="AC172" s="9751"/>
      <c r="AD172" s="9751"/>
      <c r="AE172" s="9751"/>
      <c r="AF172" s="9751"/>
      <c r="AG172" s="9751"/>
      <c r="AH172" s="9751"/>
      <c r="AI172" s="9751"/>
      <c r="AJ172" s="9751"/>
      <c r="AK172" s="9751"/>
      <c r="AL172" s="9751"/>
      <c r="AM172" s="9751"/>
      <c r="AN172" s="9751"/>
      <c r="AO172" s="9751"/>
      <c r="AP172" s="9751"/>
      <c r="AQ172" s="9751"/>
      <c r="AR172" s="9751"/>
      <c r="AS172" s="9751"/>
      <c r="AT172" s="9751"/>
      <c r="AU172" s="9751"/>
      <c r="AV172" s="9751"/>
      <c r="AW172" s="9751"/>
      <c r="AX172" s="9751"/>
      <c r="AY172" s="9751"/>
      <c r="AZ172" s="9751"/>
      <c r="BA172" s="9751"/>
      <c r="BB172" s="9751"/>
      <c r="BC172" s="9751"/>
      <c r="BD172" s="9751"/>
      <c r="BE172" s="9751"/>
      <c r="BF172" s="9751"/>
      <c r="BG172" s="9751"/>
      <c r="BH172" s="9751"/>
      <c r="BI172" s="9751"/>
      <c r="BJ172" s="9751"/>
      <c r="BK172" s="9751"/>
      <c r="BL172" s="9751"/>
      <c r="BM172" s="9751"/>
      <c r="BN172" s="9751"/>
      <c r="BO172" s="9751"/>
      <c r="BP172" s="9751"/>
      <c r="BQ172" s="9751"/>
      <c r="BR172" s="9751"/>
      <c r="BS172" s="9751"/>
      <c r="BT172" s="9751"/>
      <c r="BU172" s="9751"/>
      <c r="BV172" s="9751"/>
      <c r="BW172" s="9751"/>
      <c r="BX172" s="9751"/>
      <c r="BY172" s="9751"/>
      <c r="BZ172" s="9751"/>
      <c r="CA172" s="9751"/>
      <c r="CB172" s="9751"/>
      <c r="CC172" s="9751"/>
      <c r="CD172" s="9751"/>
      <c r="CE172" s="9751"/>
      <c r="CF172" s="9751"/>
      <c r="CG172" s="9751"/>
      <c r="CH172" s="9751"/>
      <c r="CI172" s="9751"/>
      <c r="CJ172" s="9751"/>
      <c r="CK172" s="9751"/>
      <c r="CL172" s="9751"/>
      <c r="CM172" s="9751"/>
      <c r="CN172" s="9751"/>
      <c r="CO172" s="9751"/>
      <c r="CP172" s="9751"/>
      <c r="CQ172" s="9751"/>
      <c r="CR172" s="9751"/>
      <c r="CS172" s="9751"/>
      <c r="CT172" s="10418"/>
      <c r="CU172" s="9751"/>
      <c r="CV172" s="9751"/>
      <c r="CW172" s="9751"/>
      <c r="CX172" s="9751"/>
      <c r="CY172" s="9751"/>
      <c r="CZ172" s="9751"/>
      <c r="DA172" s="9751"/>
      <c r="DB172" s="9751"/>
      <c r="DC172" s="9751"/>
      <c r="DD172" s="9751"/>
      <c r="DE172" s="9751"/>
      <c r="DF172" s="9751"/>
      <c r="DG172" s="9751"/>
      <c r="DH172" s="9751"/>
      <c r="DI172" s="9751"/>
      <c r="DJ172" s="9751"/>
      <c r="DK172" s="9751"/>
      <c r="DL172" s="9751"/>
      <c r="DM172" s="9751"/>
      <c r="DN172" s="9751"/>
      <c r="DO172" s="9751"/>
      <c r="DP172" s="9751"/>
      <c r="DQ172" s="9751"/>
      <c r="DR172" s="9751"/>
      <c r="DS172" s="9769"/>
      <c r="DT172" s="10065"/>
      <c r="DU172" s="10065" t="str">
        <f>IF(T172="","",T172)</f>
        <v>Добавить централизованную систему для дифференциации</v>
      </c>
      <c r="DV172" s="10065"/>
      <c r="DW172" s="10065"/>
    </row>
    <row s="21369" customFormat="1" customHeight="1" ht="23.25">
      <c r="A173" s="10052"/>
      <c r="B173" s="10052" t="s">
        <v>355</v>
      </c>
      <c r="C173" s="10052"/>
      <c r="D173" s="10052"/>
      <c r="E173" s="10053"/>
      <c r="F173" s="10054" t="s">
        <v>156</v>
      </c>
      <c r="G173" s="10052"/>
      <c r="H173" s="10052"/>
      <c r="I173" s="10052"/>
      <c r="J173" s="10052"/>
      <c r="K173" s="10052"/>
      <c r="L173" s="10055"/>
      <c r="M173" s="10056"/>
      <c r="N173" s="10056"/>
      <c r="O173" s="10056"/>
      <c r="P173" s="10057"/>
      <c r="Q173" s="10058"/>
      <c r="R173" s="10059"/>
      <c r="S173" s="10060" t="str">
        <f>INDEX(PT_DIFFERENTIATION_NUM_TER,MATCH(B173,PT_DIFFERENTIATION_TER_ID,0))</f>
        <v>1.14</v>
      </c>
      <c r="T173" s="10061" t="s">
        <v>503</v>
      </c>
      <c r="U173" s="10062"/>
      <c r="V173" s="9494"/>
      <c r="W173" s="9495"/>
      <c r="X173" s="9495"/>
      <c r="Y173" s="9495"/>
      <c r="Z173" s="9495"/>
      <c r="AA173" s="9495"/>
      <c r="AB173" s="9495"/>
      <c r="AC173" s="9495"/>
      <c r="AD173" s="9495"/>
      <c r="AE173" s="9495"/>
      <c r="AF173" s="9496"/>
      <c r="AG173" s="9494" t="str">
        <f>INDEX(PT_DIFFERENTIATION_TER,MATCH(B173,PT_DIFFERENTIATION_TER_ID,0))</f>
        <v>Территория 14</v>
      </c>
      <c r="AH173" s="9495"/>
      <c r="AI173" s="9495"/>
      <c r="AJ173" s="9495"/>
      <c r="AK173" s="9495"/>
      <c r="AL173" s="9495"/>
      <c r="AM173" s="9495"/>
      <c r="AN173" s="9495"/>
      <c r="AO173" s="9495"/>
      <c r="AP173" s="9495"/>
      <c r="AQ173" s="9495"/>
      <c r="AR173" s="9494"/>
      <c r="AS173" s="9495"/>
      <c r="AT173" s="9495"/>
      <c r="AU173" s="9495"/>
      <c r="AV173" s="9495"/>
      <c r="AW173" s="9495"/>
      <c r="AX173" s="9495"/>
      <c r="AY173" s="9495"/>
      <c r="AZ173" s="9495"/>
      <c r="BA173" s="9495"/>
      <c r="BB173" s="9496"/>
      <c r="BC173" s="9494"/>
      <c r="BD173" s="9495"/>
      <c r="BE173" s="9495"/>
      <c r="BF173" s="9495"/>
      <c r="BG173" s="9495"/>
      <c r="BH173" s="9495"/>
      <c r="BI173" s="9495"/>
      <c r="BJ173" s="9495"/>
      <c r="BK173" s="9495"/>
      <c r="BL173" s="9495"/>
      <c r="BM173" s="9496"/>
      <c r="BN173" s="9494"/>
      <c r="BO173" s="9495"/>
      <c r="BP173" s="9495"/>
      <c r="BQ173" s="9495"/>
      <c r="BR173" s="9495"/>
      <c r="BS173" s="9495"/>
      <c r="BT173" s="9495"/>
      <c r="BU173" s="9495"/>
      <c r="BV173" s="9495"/>
      <c r="BW173" s="9495"/>
      <c r="BX173" s="9496"/>
      <c r="BY173" s="9494"/>
      <c r="BZ173" s="9495"/>
      <c r="CA173" s="9495"/>
      <c r="CB173" s="9495"/>
      <c r="CC173" s="9495"/>
      <c r="CD173" s="9495"/>
      <c r="CE173" s="9495"/>
      <c r="CF173" s="9495"/>
      <c r="CG173" s="9495"/>
      <c r="CH173" s="9495"/>
      <c r="CI173" s="9496"/>
      <c r="CJ173" s="9494"/>
      <c r="CK173" s="9495"/>
      <c r="CL173" s="9495"/>
      <c r="CM173" s="9495"/>
      <c r="CN173" s="9495"/>
      <c r="CO173" s="9495"/>
      <c r="CP173" s="9495"/>
      <c r="CQ173" s="9495"/>
      <c r="CR173" s="9495"/>
      <c r="CS173" s="9495"/>
      <c r="CT173" s="10063"/>
      <c r="CU173" s="9494"/>
      <c r="CV173" s="9495"/>
      <c r="CW173" s="9495"/>
      <c r="CX173" s="9495"/>
      <c r="CY173" s="9495"/>
      <c r="CZ173" s="9495"/>
      <c r="DA173" s="9495"/>
      <c r="DB173" s="9495"/>
      <c r="DC173" s="9495"/>
      <c r="DD173" s="9495"/>
      <c r="DE173" s="9496"/>
      <c r="DF173" s="9494"/>
      <c r="DG173" s="9495"/>
      <c r="DH173" s="9495"/>
      <c r="DI173" s="9495"/>
      <c r="DJ173" s="9495"/>
      <c r="DK173" s="9495"/>
      <c r="DL173" s="9495"/>
      <c r="DM173" s="9495"/>
      <c r="DN173" s="9495"/>
      <c r="DO173" s="9495"/>
      <c r="DP173" s="9496"/>
      <c r="DQ173" s="9496"/>
      <c r="DR173" s="10064" t="s">
        <v>504</v>
      </c>
      <c r="DS173" s="9769"/>
      <c r="DT173" s="10065"/>
      <c r="DU173" s="10065" t="str">
        <f>IF(T173="","",T173)</f>
        <v>Территория действия тарифа</v>
      </c>
      <c r="DV173" s="10065"/>
      <c r="DW173" s="10065"/>
    </row>
    <row s="21370" customFormat="1" customHeight="1" ht="23.25">
      <c r="A174" s="10052"/>
      <c r="B174" s="10052"/>
      <c r="C174" s="10052" t="s">
        <v>356</v>
      </c>
      <c r="D174" s="10052"/>
      <c r="E174" s="10053"/>
      <c r="F174" s="10053" t="s">
        <v>151</v>
      </c>
      <c r="G174" s="10054">
        <v>1</v>
      </c>
      <c r="H174" s="10052"/>
      <c r="I174" s="10052"/>
      <c r="J174" s="10052"/>
      <c r="K174" s="10052"/>
      <c r="L174" s="10055"/>
      <c r="M174" s="10056"/>
      <c r="N174" s="10056"/>
      <c r="O174" s="10056"/>
      <c r="P174" s="10067"/>
      <c r="Q174" s="10058"/>
      <c r="R174" s="10059"/>
      <c r="S174" s="10060" t="str">
        <f>INDEX(PT_DIFFERENTIATION_NUM_CS,MATCH(C174,PT_DIFFERENTIATION_CS_ID,0))</f>
        <v>1.14.1</v>
      </c>
      <c r="T174" s="10068" t="s">
        <v>634</v>
      </c>
      <c r="U174" s="10062"/>
      <c r="V174" s="9494"/>
      <c r="W174" s="9495"/>
      <c r="X174" s="9495"/>
      <c r="Y174" s="9495"/>
      <c r="Z174" s="9495"/>
      <c r="AA174" s="9495"/>
      <c r="AB174" s="9495"/>
      <c r="AC174" s="9495"/>
      <c r="AD174" s="9495"/>
      <c r="AE174" s="9495"/>
      <c r="AF174" s="9496"/>
      <c r="AG174" s="9494" t="str">
        <f>INDEX(PT_DIFFERENTIATION_CS,MATCH(C174,PT_DIFFERENTIATION_CS_ID,0))</f>
        <v>пгт. Сибирцево</v>
      </c>
      <c r="AH174" s="9495"/>
      <c r="AI174" s="9495"/>
      <c r="AJ174" s="9495"/>
      <c r="AK174" s="9495"/>
      <c r="AL174" s="9495"/>
      <c r="AM174" s="9495"/>
      <c r="AN174" s="9495"/>
      <c r="AO174" s="9495"/>
      <c r="AP174" s="9495"/>
      <c r="AQ174" s="9495"/>
      <c r="AR174" s="9494"/>
      <c r="AS174" s="9495"/>
      <c r="AT174" s="9495"/>
      <c r="AU174" s="9495"/>
      <c r="AV174" s="9495"/>
      <c r="AW174" s="9495"/>
      <c r="AX174" s="9495"/>
      <c r="AY174" s="9495"/>
      <c r="AZ174" s="9495"/>
      <c r="BA174" s="9495"/>
      <c r="BB174" s="9496"/>
      <c r="BC174" s="9494"/>
      <c r="BD174" s="9495"/>
      <c r="BE174" s="9495"/>
      <c r="BF174" s="9495"/>
      <c r="BG174" s="9495"/>
      <c r="BH174" s="9495"/>
      <c r="BI174" s="9495"/>
      <c r="BJ174" s="9495"/>
      <c r="BK174" s="9495"/>
      <c r="BL174" s="9495"/>
      <c r="BM174" s="9496"/>
      <c r="BN174" s="9494"/>
      <c r="BO174" s="9495"/>
      <c r="BP174" s="9495"/>
      <c r="BQ174" s="9495"/>
      <c r="BR174" s="9495"/>
      <c r="BS174" s="9495"/>
      <c r="BT174" s="9495"/>
      <c r="BU174" s="9495"/>
      <c r="BV174" s="9495"/>
      <c r="BW174" s="9495"/>
      <c r="BX174" s="9496"/>
      <c r="BY174" s="9494"/>
      <c r="BZ174" s="9495"/>
      <c r="CA174" s="9495"/>
      <c r="CB174" s="9495"/>
      <c r="CC174" s="9495"/>
      <c r="CD174" s="9495"/>
      <c r="CE174" s="9495"/>
      <c r="CF174" s="9495"/>
      <c r="CG174" s="9495"/>
      <c r="CH174" s="9495"/>
      <c r="CI174" s="9496"/>
      <c r="CJ174" s="9494"/>
      <c r="CK174" s="9495"/>
      <c r="CL174" s="9495"/>
      <c r="CM174" s="9495"/>
      <c r="CN174" s="9495"/>
      <c r="CO174" s="9495"/>
      <c r="CP174" s="9495"/>
      <c r="CQ174" s="9495"/>
      <c r="CR174" s="9495"/>
      <c r="CS174" s="9495"/>
      <c r="CT174" s="10063"/>
      <c r="CU174" s="9494"/>
      <c r="CV174" s="9495"/>
      <c r="CW174" s="9495"/>
      <c r="CX174" s="9495"/>
      <c r="CY174" s="9495"/>
      <c r="CZ174" s="9495"/>
      <c r="DA174" s="9495"/>
      <c r="DB174" s="9495"/>
      <c r="DC174" s="9495"/>
      <c r="DD174" s="9495"/>
      <c r="DE174" s="9496"/>
      <c r="DF174" s="9494"/>
      <c r="DG174" s="9495"/>
      <c r="DH174" s="9495"/>
      <c r="DI174" s="9495"/>
      <c r="DJ174" s="9495"/>
      <c r="DK174" s="9495"/>
      <c r="DL174" s="9495"/>
      <c r="DM174" s="9495"/>
      <c r="DN174" s="9495"/>
      <c r="DO174" s="9495"/>
      <c r="DP174" s="9496"/>
      <c r="DQ174" s="9496"/>
      <c r="DR174" s="10064" t="s">
        <v>635</v>
      </c>
      <c r="DS174" s="9769"/>
      <c r="DT174" s="10065"/>
      <c r="DU174" s="10065" t="str">
        <f>IF(T174="","",T174)</f>
        <v>Наименование централизованной системы горячего водоснабжения</v>
      </c>
      <c r="DV174" s="10065"/>
      <c r="DW174" s="10065"/>
    </row>
    <row s="21371" customFormat="1" customHeight="1" ht="23.25">
      <c r="A175" s="10052"/>
      <c r="B175" s="10052"/>
      <c r="C175" s="10052"/>
      <c r="D175" s="10052"/>
      <c r="E175" s="10053"/>
      <c r="F175" s="10053" t="s">
        <v>151</v>
      </c>
      <c r="G175" s="10053"/>
      <c r="H175" s="10053"/>
      <c r="I175" s="10070" t="str">
        <f>S174&amp;".1"</f>
        <v>1.14.1.1</v>
      </c>
      <c r="J175" s="10052"/>
      <c r="K175" s="10052"/>
      <c r="L175" s="10055"/>
      <c r="M175" s="10071"/>
      <c r="N175" s="10071"/>
      <c r="O175" s="10071"/>
      <c r="P175" s="10072">
        <v>1</v>
      </c>
      <c r="Q175" s="10072"/>
      <c r="R175" s="10073"/>
      <c r="S175" s="10060" t="str">
        <f>$I175</f>
        <v>1.14.1.1</v>
      </c>
      <c r="T175" s="10074" t="s">
        <v>587</v>
      </c>
      <c r="U175" s="10062"/>
      <c r="V175" s="9500"/>
      <c r="W175" s="9501"/>
      <c r="X175" s="9501"/>
      <c r="Y175" s="9501"/>
      <c r="Z175" s="9501"/>
      <c r="AA175" s="9501"/>
      <c r="AB175" s="9501"/>
      <c r="AC175" s="9501"/>
      <c r="AD175" s="9501"/>
      <c r="AE175" s="9501"/>
      <c r="AF175" s="9502"/>
      <c r="AG175" s="10075"/>
      <c r="AH175" s="10076"/>
      <c r="AI175" s="10076"/>
      <c r="AJ175" s="10076"/>
      <c r="AK175" s="10076"/>
      <c r="AL175" s="10076"/>
      <c r="AM175" s="10076"/>
      <c r="AN175" s="10076"/>
      <c r="AO175" s="10076"/>
      <c r="AP175" s="10076"/>
      <c r="AQ175" s="10076"/>
      <c r="AR175" s="9500"/>
      <c r="AS175" s="9501"/>
      <c r="AT175" s="9501"/>
      <c r="AU175" s="9501"/>
      <c r="AV175" s="9501"/>
      <c r="AW175" s="9501"/>
      <c r="AX175" s="9501"/>
      <c r="AY175" s="9501"/>
      <c r="AZ175" s="9501"/>
      <c r="BA175" s="9501"/>
      <c r="BB175" s="9502"/>
      <c r="BC175" s="9500"/>
      <c r="BD175" s="9501"/>
      <c r="BE175" s="9501"/>
      <c r="BF175" s="9501"/>
      <c r="BG175" s="9501"/>
      <c r="BH175" s="9501"/>
      <c r="BI175" s="9501"/>
      <c r="BJ175" s="9501"/>
      <c r="BK175" s="9501"/>
      <c r="BL175" s="9501"/>
      <c r="BM175" s="9502"/>
      <c r="BN175" s="9500"/>
      <c r="BO175" s="9501"/>
      <c r="BP175" s="9501"/>
      <c r="BQ175" s="9501"/>
      <c r="BR175" s="9501"/>
      <c r="BS175" s="9501"/>
      <c r="BT175" s="9501"/>
      <c r="BU175" s="9501"/>
      <c r="BV175" s="9501"/>
      <c r="BW175" s="9501"/>
      <c r="BX175" s="9502"/>
      <c r="BY175" s="9500"/>
      <c r="BZ175" s="9501"/>
      <c r="CA175" s="9501"/>
      <c r="CB175" s="9501"/>
      <c r="CC175" s="9501"/>
      <c r="CD175" s="9501"/>
      <c r="CE175" s="9501"/>
      <c r="CF175" s="9501"/>
      <c r="CG175" s="9501"/>
      <c r="CH175" s="9501"/>
      <c r="CI175" s="9502"/>
      <c r="CJ175" s="9500"/>
      <c r="CK175" s="9501"/>
      <c r="CL175" s="9501"/>
      <c r="CM175" s="9501"/>
      <c r="CN175" s="9501"/>
      <c r="CO175" s="9501"/>
      <c r="CP175" s="9501"/>
      <c r="CQ175" s="9501"/>
      <c r="CR175" s="9501"/>
      <c r="CS175" s="9501"/>
      <c r="CT175" s="10077"/>
      <c r="CU175" s="9500"/>
      <c r="CV175" s="9501"/>
      <c r="CW175" s="9501"/>
      <c r="CX175" s="9501"/>
      <c r="CY175" s="9501"/>
      <c r="CZ175" s="9501"/>
      <c r="DA175" s="9501"/>
      <c r="DB175" s="9501"/>
      <c r="DC175" s="9501"/>
      <c r="DD175" s="9501"/>
      <c r="DE175" s="9502"/>
      <c r="DF175" s="9500"/>
      <c r="DG175" s="9501"/>
      <c r="DH175" s="9501"/>
      <c r="DI175" s="9501"/>
      <c r="DJ175" s="9501"/>
      <c r="DK175" s="9501"/>
      <c r="DL175" s="9501"/>
      <c r="DM175" s="9501"/>
      <c r="DN175" s="9501"/>
      <c r="DO175" s="9501"/>
      <c r="DP175" s="9502"/>
      <c r="DQ175" s="10078"/>
      <c r="DR175" s="10064" t="s">
        <v>588</v>
      </c>
      <c r="DS175" s="9769"/>
      <c r="DT175" s="10065"/>
      <c r="DU175" s="10065" t="str">
        <f>IF(T175="","",T175)</f>
        <v>Наименование признака дифференциации</v>
      </c>
      <c r="DV175" s="10065"/>
      <c r="DW175" s="10065"/>
    </row>
    <row s="21372" customFormat="1" customHeight="1" ht="23.25">
      <c r="A176" s="10052"/>
      <c r="B176" s="10052"/>
      <c r="C176" s="10052"/>
      <c r="D176" s="10052"/>
      <c r="E176" s="10053"/>
      <c r="F176" s="10053" t="s">
        <v>151</v>
      </c>
      <c r="G176" s="10053"/>
      <c r="H176" s="10053"/>
      <c r="I176" s="10080"/>
      <c r="J176" s="10070" t="str">
        <f>I175&amp;".1"</f>
        <v>1.14.1.1.1</v>
      </c>
      <c r="K176" s="10052"/>
      <c r="L176" s="10055" t="s">
        <v>512</v>
      </c>
      <c r="M176" s="10071"/>
      <c r="N176" s="10071"/>
      <c r="O176" s="10071"/>
      <c r="P176" s="10072"/>
      <c r="Q176" s="10072">
        <v>1</v>
      </c>
      <c r="R176" s="10081"/>
      <c r="S176" s="10060" t="str">
        <f>$J176</f>
        <v>1.14.1.1.1</v>
      </c>
      <c r="T176" s="10082" t="s">
        <v>513</v>
      </c>
      <c r="U176" s="10062"/>
      <c r="V176" s="9506"/>
      <c r="W176" s="9507"/>
      <c r="X176" s="9507"/>
      <c r="Y176" s="9507"/>
      <c r="Z176" s="9507"/>
      <c r="AA176" s="9507"/>
      <c r="AB176" s="9507"/>
      <c r="AC176" s="9507"/>
      <c r="AD176" s="9507"/>
      <c r="AE176" s="9507"/>
      <c r="AF176" s="9508"/>
      <c r="AG176" s="9506" t="s">
        <v>647</v>
      </c>
      <c r="AH176" s="9507"/>
      <c r="AI176" s="9507"/>
      <c r="AJ176" s="9507"/>
      <c r="AK176" s="9507"/>
      <c r="AL176" s="9507"/>
      <c r="AM176" s="9507"/>
      <c r="AN176" s="9507"/>
      <c r="AO176" s="9507"/>
      <c r="AP176" s="9507"/>
      <c r="AQ176" s="9507"/>
      <c r="AR176" s="9506"/>
      <c r="AS176" s="9507"/>
      <c r="AT176" s="9507"/>
      <c r="AU176" s="9507"/>
      <c r="AV176" s="9507"/>
      <c r="AW176" s="9507"/>
      <c r="AX176" s="9507"/>
      <c r="AY176" s="9507"/>
      <c r="AZ176" s="9507"/>
      <c r="BA176" s="9507"/>
      <c r="BB176" s="9508"/>
      <c r="BC176" s="9506"/>
      <c r="BD176" s="9507"/>
      <c r="BE176" s="9507"/>
      <c r="BF176" s="9507"/>
      <c r="BG176" s="9507"/>
      <c r="BH176" s="9507"/>
      <c r="BI176" s="9507"/>
      <c r="BJ176" s="9507"/>
      <c r="BK176" s="9507"/>
      <c r="BL176" s="9507"/>
      <c r="BM176" s="9508"/>
      <c r="BN176" s="9506"/>
      <c r="BO176" s="9507"/>
      <c r="BP176" s="9507"/>
      <c r="BQ176" s="9507"/>
      <c r="BR176" s="9507"/>
      <c r="BS176" s="9507"/>
      <c r="BT176" s="9507"/>
      <c r="BU176" s="9507"/>
      <c r="BV176" s="9507"/>
      <c r="BW176" s="9507"/>
      <c r="BX176" s="9508"/>
      <c r="BY176" s="9506"/>
      <c r="BZ176" s="9507"/>
      <c r="CA176" s="9507"/>
      <c r="CB176" s="9507"/>
      <c r="CC176" s="9507"/>
      <c r="CD176" s="9507"/>
      <c r="CE176" s="9507"/>
      <c r="CF176" s="9507"/>
      <c r="CG176" s="9507"/>
      <c r="CH176" s="9507"/>
      <c r="CI176" s="9508"/>
      <c r="CJ176" s="9506"/>
      <c r="CK176" s="9507"/>
      <c r="CL176" s="9507"/>
      <c r="CM176" s="9507"/>
      <c r="CN176" s="9507"/>
      <c r="CO176" s="9507"/>
      <c r="CP176" s="9507"/>
      <c r="CQ176" s="9507"/>
      <c r="CR176" s="9507"/>
      <c r="CS176" s="9507"/>
      <c r="CT176" s="10083"/>
      <c r="CU176" s="9506"/>
      <c r="CV176" s="9507"/>
      <c r="CW176" s="9507"/>
      <c r="CX176" s="9507"/>
      <c r="CY176" s="9507"/>
      <c r="CZ176" s="9507"/>
      <c r="DA176" s="9507"/>
      <c r="DB176" s="9507"/>
      <c r="DC176" s="9507"/>
      <c r="DD176" s="9507"/>
      <c r="DE176" s="9508"/>
      <c r="DF176" s="9506"/>
      <c r="DG176" s="9507"/>
      <c r="DH176" s="9507"/>
      <c r="DI176" s="9507"/>
      <c r="DJ176" s="9507"/>
      <c r="DK176" s="9507"/>
      <c r="DL176" s="9507"/>
      <c r="DM176" s="9507"/>
      <c r="DN176" s="9507"/>
      <c r="DO176" s="9507"/>
      <c r="DP176" s="9508"/>
      <c r="DQ176" s="9508"/>
      <c r="DR176" s="10084" t="s">
        <v>589</v>
      </c>
      <c r="DS176" s="9769"/>
      <c r="DT176" s="10065"/>
      <c r="DU176" s="10065" t="str">
        <f>IF(T176="","",T176)</f>
        <v>Группа потребителей</v>
      </c>
      <c r="DV176" s="10065"/>
      <c r="DW176" s="10065"/>
    </row>
    <row s="21373" customFormat="1" customHeight="1" ht="23.25">
      <c r="A177" s="10052"/>
      <c r="B177" s="10052"/>
      <c r="C177" s="10052"/>
      <c r="D177" s="10052"/>
      <c r="E177" s="10053"/>
      <c r="F177" s="10053" t="s">
        <v>151</v>
      </c>
      <c r="G177" s="10053"/>
      <c r="H177" s="10053"/>
      <c r="I177" s="10080"/>
      <c r="J177" s="10080"/>
      <c r="K177" s="10070" t="str">
        <f>J176&amp;".1"</f>
        <v>1.14.1.1.1.1</v>
      </c>
      <c r="L177" s="10055"/>
      <c r="M177" s="10071"/>
      <c r="N177" s="10071"/>
      <c r="O177" s="10071"/>
      <c r="P177" s="10072"/>
      <c r="Q177" s="10072"/>
      <c r="R177" s="10081">
        <v>1</v>
      </c>
      <c r="S177" s="10060" t="str">
        <f>$K177</f>
        <v>1.14.1.1.1.1</v>
      </c>
      <c r="T177" s="10086"/>
      <c r="U177" s="10062"/>
      <c r="V177" s="9512"/>
      <c r="W177" s="9512"/>
      <c r="X177" s="9512"/>
      <c r="Y177" s="9512"/>
      <c r="Z177" s="9512"/>
      <c r="AA177" s="9512"/>
      <c r="AB177" s="9512"/>
      <c r="AC177" s="9513"/>
      <c r="AD177" s="9514" t="s">
        <v>63</v>
      </c>
      <c r="AE177" s="9513"/>
      <c r="AF177" s="9514" t="s">
        <v>63</v>
      </c>
      <c r="AG177" s="9512">
        <v>332.89</v>
      </c>
      <c r="AH177" s="9512"/>
      <c r="AI177" s="9512"/>
      <c r="AJ177" s="9512"/>
      <c r="AK177" s="9512"/>
      <c r="AL177" s="9512"/>
      <c r="AM177" s="9512"/>
      <c r="AN177" s="20731">
        <v>45658.41142361111</v>
      </c>
      <c r="AO177" s="9514" t="s">
        <v>63</v>
      </c>
      <c r="AP177" s="21374">
        <v>45838.41155092593</v>
      </c>
      <c r="AQ177" s="9514" t="s">
        <v>63</v>
      </c>
      <c r="AR177" s="9512">
        <v>567.11</v>
      </c>
      <c r="AS177" s="9512"/>
      <c r="AT177" s="9512"/>
      <c r="AU177" s="9512"/>
      <c r="AV177" s="9512"/>
      <c r="AW177" s="9512"/>
      <c r="AX177" s="9512"/>
      <c r="AY177" s="20731">
        <v>45839.41170138889</v>
      </c>
      <c r="AZ177" s="9514" t="s">
        <v>63</v>
      </c>
      <c r="BA177" s="20731">
        <v>46022.41189814815</v>
      </c>
      <c r="BB177" s="9514" t="s">
        <v>63</v>
      </c>
      <c r="BC177" s="9512">
        <v>567.11</v>
      </c>
      <c r="BD177" s="9512"/>
      <c r="BE177" s="9512"/>
      <c r="BF177" s="9512"/>
      <c r="BG177" s="9512"/>
      <c r="BH177" s="9512"/>
      <c r="BI177" s="9512"/>
      <c r="BJ177" s="20731">
        <v>46023.640127314815</v>
      </c>
      <c r="BK177" s="9514" t="s">
        <v>63</v>
      </c>
      <c r="BL177" s="20731">
        <v>46203.64026620371</v>
      </c>
      <c r="BM177" s="9514" t="s">
        <v>63</v>
      </c>
      <c r="BN177" s="9512">
        <v>589.8</v>
      </c>
      <c r="BO177" s="9512"/>
      <c r="BP177" s="9512"/>
      <c r="BQ177" s="9512"/>
      <c r="BR177" s="9512"/>
      <c r="BS177" s="9512"/>
      <c r="BT177" s="9512"/>
      <c r="BU177" s="20731">
        <v>46204.640439814815</v>
      </c>
      <c r="BV177" s="9514" t="s">
        <v>63</v>
      </c>
      <c r="BW177" s="20731">
        <v>46387.64087962963</v>
      </c>
      <c r="BX177" s="9514" t="s">
        <v>63</v>
      </c>
      <c r="BY177" s="9512">
        <v>589.8</v>
      </c>
      <c r="BZ177" s="9512"/>
      <c r="CA177" s="9512"/>
      <c r="CB177" s="9512"/>
      <c r="CC177" s="9512"/>
      <c r="CD177" s="9512"/>
      <c r="CE177" s="9512"/>
      <c r="CF177" s="20731">
        <v>46388.64356481482</v>
      </c>
      <c r="CG177" s="9514" t="s">
        <v>63</v>
      </c>
      <c r="CH177" s="20731">
        <v>46568.64383101852</v>
      </c>
      <c r="CI177" s="9514" t="s">
        <v>63</v>
      </c>
      <c r="CJ177" s="9512">
        <v>613.39</v>
      </c>
      <c r="CK177" s="9512"/>
      <c r="CL177" s="9512"/>
      <c r="CM177" s="9512"/>
      <c r="CN177" s="9512"/>
      <c r="CO177" s="9512"/>
      <c r="CP177" s="9512"/>
      <c r="CQ177" s="20731">
        <v>46569.64673611111</v>
      </c>
      <c r="CR177" s="9514" t="s">
        <v>63</v>
      </c>
      <c r="CS177" s="20731">
        <v>46752.64696759259</v>
      </c>
      <c r="CT177" s="10087" t="s">
        <v>63</v>
      </c>
      <c r="CU177" s="9512">
        <v>613.39</v>
      </c>
      <c r="CV177" s="9512"/>
      <c r="CW177" s="9512"/>
      <c r="CX177" s="9512"/>
      <c r="CY177" s="9512"/>
      <c r="CZ177" s="9512"/>
      <c r="DA177" s="9512"/>
      <c r="DB177" s="20731">
        <v>46753.65015046296</v>
      </c>
      <c r="DC177" s="9514" t="s">
        <v>63</v>
      </c>
      <c r="DD177" s="20731">
        <v>46934.650405092594</v>
      </c>
      <c r="DE177" s="9514" t="s">
        <v>63</v>
      </c>
      <c r="DF177" s="9512">
        <v>637.92</v>
      </c>
      <c r="DG177" s="9512"/>
      <c r="DH177" s="9512"/>
      <c r="DI177" s="9512"/>
      <c r="DJ177" s="9512"/>
      <c r="DK177" s="9512"/>
      <c r="DL177" s="9512"/>
      <c r="DM177" s="9513">
        <v>46935.66365740741</v>
      </c>
      <c r="DN177" s="9514" t="s">
        <v>63</v>
      </c>
      <c r="DO177" s="9513">
        <v>47118.66376157408</v>
      </c>
      <c r="DP177" s="9514" t="s">
        <v>63</v>
      </c>
      <c r="DQ177" s="10088"/>
      <c r="DR177" s="100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S177" s="9769">
        <f>STRCHECKDATE(V178:DQ178)</f>
      </c>
      <c r="DT177" s="10065"/>
      <c r="DU177" s="10065" t="str">
        <f>IF(T177="","",T177)</f>
        <v/>
      </c>
      <c r="DV177" s="10065"/>
      <c r="DW177" s="10065"/>
    </row>
    <row s="21375" customFormat="1" customHeight="1" ht="14.25">
      <c r="A178" s="10052"/>
      <c r="B178" s="10052"/>
      <c r="C178" s="10052"/>
      <c r="D178" s="10052"/>
      <c r="E178" s="10053"/>
      <c r="F178" s="10053" t="s">
        <v>151</v>
      </c>
      <c r="G178" s="10053"/>
      <c r="H178" s="10053"/>
      <c r="I178" s="10080"/>
      <c r="J178" s="10080"/>
      <c r="K178" s="10070"/>
      <c r="L178" s="10055"/>
      <c r="M178" s="10071"/>
      <c r="N178" s="10071"/>
      <c r="O178" s="10071"/>
      <c r="P178" s="10072"/>
      <c r="Q178" s="10072"/>
      <c r="R178" s="10081"/>
      <c r="S178" s="10091"/>
      <c r="T178" s="10062"/>
      <c r="U178" s="10062"/>
      <c r="V178" s="9517"/>
      <c r="W178" s="9517"/>
      <c r="X178" s="9517"/>
      <c r="Y178" s="9517"/>
      <c r="Z178" s="9517"/>
      <c r="AA178" s="9517"/>
      <c r="AB178" s="9517"/>
      <c r="AC178" s="9518"/>
      <c r="AD178" s="9514"/>
      <c r="AE178" s="9518"/>
      <c r="AF178" s="9514"/>
      <c r="AG178" s="9517"/>
      <c r="AH178" s="9517"/>
      <c r="AI178" s="9517"/>
      <c r="AJ178" s="9517"/>
      <c r="AK178" s="9517"/>
      <c r="AL178" s="9517"/>
      <c r="AM178" s="9517"/>
      <c r="AN178" s="9518"/>
      <c r="AO178" s="9514"/>
      <c r="AP178" s="9819"/>
      <c r="AQ178" s="9514"/>
      <c r="AR178" s="9517"/>
      <c r="AS178" s="9517"/>
      <c r="AT178" s="9517"/>
      <c r="AU178" s="9517"/>
      <c r="AV178" s="9517"/>
      <c r="AW178" s="9517"/>
      <c r="AX178" s="9517"/>
      <c r="AY178" s="9518"/>
      <c r="AZ178" s="9514"/>
      <c r="BA178" s="9518"/>
      <c r="BB178" s="9514"/>
      <c r="BC178" s="9517"/>
      <c r="BD178" s="9517"/>
      <c r="BE178" s="9517"/>
      <c r="BF178" s="9517"/>
      <c r="BG178" s="9517"/>
      <c r="BH178" s="9517"/>
      <c r="BI178" s="9517"/>
      <c r="BJ178" s="9518"/>
      <c r="BK178" s="9514"/>
      <c r="BL178" s="9518"/>
      <c r="BM178" s="9514"/>
      <c r="BN178" s="9517"/>
      <c r="BO178" s="9517"/>
      <c r="BP178" s="9517"/>
      <c r="BQ178" s="9517"/>
      <c r="BR178" s="9517"/>
      <c r="BS178" s="9517"/>
      <c r="BT178" s="9517"/>
      <c r="BU178" s="9518"/>
      <c r="BV178" s="9514"/>
      <c r="BW178" s="9518"/>
      <c r="BX178" s="9514"/>
      <c r="BY178" s="9517"/>
      <c r="BZ178" s="9517"/>
      <c r="CA178" s="9517"/>
      <c r="CB178" s="9517"/>
      <c r="CC178" s="9517"/>
      <c r="CD178" s="9517"/>
      <c r="CE178" s="9517"/>
      <c r="CF178" s="9518"/>
      <c r="CG178" s="9514"/>
      <c r="CH178" s="9518"/>
      <c r="CI178" s="9514"/>
      <c r="CJ178" s="9517"/>
      <c r="CK178" s="9517"/>
      <c r="CL178" s="9517"/>
      <c r="CM178" s="9517"/>
      <c r="CN178" s="9517"/>
      <c r="CO178" s="9517"/>
      <c r="CP178" s="9517"/>
      <c r="CQ178" s="9518"/>
      <c r="CR178" s="9514"/>
      <c r="CS178" s="9518"/>
      <c r="CT178" s="10087"/>
      <c r="CU178" s="9517"/>
      <c r="CV178" s="9517"/>
      <c r="CW178" s="9517"/>
      <c r="CX178" s="9517"/>
      <c r="CY178" s="9517"/>
      <c r="CZ178" s="9517"/>
      <c r="DA178" s="9517"/>
      <c r="DB178" s="9518"/>
      <c r="DC178" s="9514"/>
      <c r="DD178" s="9518"/>
      <c r="DE178" s="9514"/>
      <c r="DF178" s="9517"/>
      <c r="DG178" s="9517"/>
      <c r="DH178" s="9517"/>
      <c r="DI178" s="9517"/>
      <c r="DJ178" s="9517"/>
      <c r="DK178" s="9517"/>
      <c r="DL178" s="9517"/>
      <c r="DM178" s="9518"/>
      <c r="DN178" s="9514"/>
      <c r="DO178" s="9518"/>
      <c r="DP178" s="9514"/>
      <c r="DQ178" s="10092"/>
      <c r="DR178" s="10089"/>
      <c r="DS178" s="9769"/>
      <c r="DT178" s="10065"/>
      <c r="DU178" s="10065" t="str">
        <f>IF(T178="","",T178)</f>
        <v/>
      </c>
      <c r="DV178" s="10065"/>
      <c r="DW178" s="10065"/>
    </row>
    <row s="21376" customFormat="1" customHeight="1" ht="21">
      <c r="A179" s="10052"/>
      <c r="B179" s="10052"/>
      <c r="C179" s="10052"/>
      <c r="D179" s="10052"/>
      <c r="E179" s="10053"/>
      <c r="F179" s="10053" t="s">
        <v>151</v>
      </c>
      <c r="G179" s="10053"/>
      <c r="H179" s="10053"/>
      <c r="I179" s="10080"/>
      <c r="J179" s="10070"/>
      <c r="K179" s="10052"/>
      <c r="L179" s="10055"/>
      <c r="M179" s="10071"/>
      <c r="N179" s="10071"/>
      <c r="O179" s="10071"/>
      <c r="P179" s="10072"/>
      <c r="Q179" s="10072"/>
      <c r="R179" s="10073"/>
      <c r="S179" s="13957"/>
      <c r="T179" s="13958" t="s">
        <v>590</v>
      </c>
      <c r="U179" s="13959"/>
      <c r="V179" s="13960"/>
      <c r="W179" s="13961"/>
      <c r="X179" s="13962"/>
      <c r="Y179" s="13963"/>
      <c r="Z179" s="13964"/>
      <c r="AA179" s="13965"/>
      <c r="AB179" s="13966"/>
      <c r="AC179" s="13967"/>
      <c r="AD179" s="13968"/>
      <c r="AE179" s="13969"/>
      <c r="AF179" s="13970"/>
      <c r="AG179" s="13971"/>
      <c r="AH179" s="13972"/>
      <c r="AI179" s="13973"/>
      <c r="AJ179" s="13974"/>
      <c r="AK179" s="13975"/>
      <c r="AL179" s="13976"/>
      <c r="AM179" s="13977"/>
      <c r="AN179" s="13978"/>
      <c r="AO179" s="13979"/>
      <c r="AP179" s="13980"/>
      <c r="AQ179" s="13981"/>
      <c r="AR179" s="13982"/>
      <c r="AS179" s="13983"/>
      <c r="AT179" s="13984"/>
      <c r="AU179" s="13985"/>
      <c r="AV179" s="13986"/>
      <c r="AW179" s="13987"/>
      <c r="AX179" s="13988"/>
      <c r="AY179" s="13989"/>
      <c r="AZ179" s="13990"/>
      <c r="BA179" s="13991"/>
      <c r="BB179" s="13992"/>
      <c r="BC179" s="13993"/>
      <c r="BD179" s="13994"/>
      <c r="BE179" s="13995"/>
      <c r="BF179" s="13996"/>
      <c r="BG179" s="13997"/>
      <c r="BH179" s="13998"/>
      <c r="BI179" s="13999"/>
      <c r="BJ179" s="14000"/>
      <c r="BK179" s="14001"/>
      <c r="BL179" s="14002"/>
      <c r="BM179" s="14003"/>
      <c r="BN179" s="14004"/>
      <c r="BO179" s="14005"/>
      <c r="BP179" s="14006"/>
      <c r="BQ179" s="14007"/>
      <c r="BR179" s="14008"/>
      <c r="BS179" s="14009"/>
      <c r="BT179" s="14010"/>
      <c r="BU179" s="14011"/>
      <c r="BV179" s="14012"/>
      <c r="BW179" s="14013"/>
      <c r="BX179" s="14014"/>
      <c r="BY179" s="14015"/>
      <c r="BZ179" s="14016"/>
      <c r="CA179" s="14017"/>
      <c r="CB179" s="14018"/>
      <c r="CC179" s="14019"/>
      <c r="CD179" s="14020"/>
      <c r="CE179" s="14021"/>
      <c r="CF179" s="14022"/>
      <c r="CG179" s="14023"/>
      <c r="CH179" s="14024"/>
      <c r="CI179" s="14025"/>
      <c r="CJ179" s="14026"/>
      <c r="CK179" s="14027"/>
      <c r="CL179" s="14028"/>
      <c r="CM179" s="14029"/>
      <c r="CN179" s="14030"/>
      <c r="CO179" s="14031"/>
      <c r="CP179" s="14032"/>
      <c r="CQ179" s="14033"/>
      <c r="CR179" s="14034"/>
      <c r="CS179" s="14035"/>
      <c r="CT179" s="14036"/>
      <c r="CU179" s="14037"/>
      <c r="CV179" s="14038"/>
      <c r="CW179" s="14039"/>
      <c r="CX179" s="14040"/>
      <c r="CY179" s="14041"/>
      <c r="CZ179" s="14042"/>
      <c r="DA179" s="14043"/>
      <c r="DB179" s="14044"/>
      <c r="DC179" s="14045"/>
      <c r="DD179" s="14046"/>
      <c r="DE179" s="14047"/>
      <c r="DF179" s="14048"/>
      <c r="DG179" s="14049"/>
      <c r="DH179" s="14050"/>
      <c r="DI179" s="14051"/>
      <c r="DJ179" s="14052"/>
      <c r="DK179" s="14053"/>
      <c r="DL179" s="14054"/>
      <c r="DM179" s="14055"/>
      <c r="DN179" s="14056"/>
      <c r="DO179" s="14057"/>
      <c r="DP179" s="14058"/>
      <c r="DQ179" s="14059"/>
      <c r="DR179" s="10064" t="s">
        <v>591</v>
      </c>
      <c r="DS179" s="9769"/>
      <c r="DT179" s="10065"/>
      <c r="DU179" s="10065" t="str">
        <f>IF(T179="","",T179)</f>
        <v>Добавить значение признака дифференциации</v>
      </c>
      <c r="DV179" s="10065"/>
      <c r="DW179" s="10065"/>
    </row>
    <row s="21480" customFormat="1" customHeight="1" ht="21">
      <c r="A180" s="10052"/>
      <c r="B180" s="10052"/>
      <c r="C180" s="10052"/>
      <c r="D180" s="10052"/>
      <c r="E180" s="10053"/>
      <c r="F180" s="10053" t="s">
        <v>151</v>
      </c>
      <c r="G180" s="10053"/>
      <c r="H180" s="10053"/>
      <c r="I180" s="10070"/>
      <c r="J180" s="10052"/>
      <c r="K180" s="10052"/>
      <c r="L180" s="10055"/>
      <c r="M180" s="10071"/>
      <c r="N180" s="10071"/>
      <c r="O180" s="10071"/>
      <c r="P180" s="10072"/>
      <c r="Q180" s="10072"/>
      <c r="R180" s="10073"/>
      <c r="S180" s="14061"/>
      <c r="T180" s="14062" t="s">
        <v>518</v>
      </c>
      <c r="U180" s="14063"/>
      <c r="V180" s="14064"/>
      <c r="W180" s="14065"/>
      <c r="X180" s="14066"/>
      <c r="Y180" s="14067"/>
      <c r="Z180" s="14068"/>
      <c r="AA180" s="14069"/>
      <c r="AB180" s="14070"/>
      <c r="AC180" s="14071"/>
      <c r="AD180" s="14072"/>
      <c r="AE180" s="14073"/>
      <c r="AF180" s="14074"/>
      <c r="AG180" s="14075"/>
      <c r="AH180" s="14076"/>
      <c r="AI180" s="14077"/>
      <c r="AJ180" s="14078"/>
      <c r="AK180" s="14079"/>
      <c r="AL180" s="14080"/>
      <c r="AM180" s="14081"/>
      <c r="AN180" s="14082"/>
      <c r="AO180" s="14083"/>
      <c r="AP180" s="14084"/>
      <c r="AQ180" s="14085"/>
      <c r="AR180" s="14086"/>
      <c r="AS180" s="14087"/>
      <c r="AT180" s="14088"/>
      <c r="AU180" s="14089"/>
      <c r="AV180" s="14090"/>
      <c r="AW180" s="14091"/>
      <c r="AX180" s="14092"/>
      <c r="AY180" s="14093"/>
      <c r="AZ180" s="14094"/>
      <c r="BA180" s="14095"/>
      <c r="BB180" s="14096"/>
      <c r="BC180" s="14097"/>
      <c r="BD180" s="14098"/>
      <c r="BE180" s="14099"/>
      <c r="BF180" s="14100"/>
      <c r="BG180" s="14101"/>
      <c r="BH180" s="14102"/>
      <c r="BI180" s="14103"/>
      <c r="BJ180" s="14104"/>
      <c r="BK180" s="14105"/>
      <c r="BL180" s="14106"/>
      <c r="BM180" s="14107"/>
      <c r="BN180" s="14108"/>
      <c r="BO180" s="14109"/>
      <c r="BP180" s="14110"/>
      <c r="BQ180" s="14111"/>
      <c r="BR180" s="14112"/>
      <c r="BS180" s="14113"/>
      <c r="BT180" s="14114"/>
      <c r="BU180" s="14115"/>
      <c r="BV180" s="14116"/>
      <c r="BW180" s="14117"/>
      <c r="BX180" s="14118"/>
      <c r="BY180" s="14119"/>
      <c r="BZ180" s="14120"/>
      <c r="CA180" s="14121"/>
      <c r="CB180" s="14122"/>
      <c r="CC180" s="14123"/>
      <c r="CD180" s="14124"/>
      <c r="CE180" s="14125"/>
      <c r="CF180" s="14126"/>
      <c r="CG180" s="14127"/>
      <c r="CH180" s="14128"/>
      <c r="CI180" s="14129"/>
      <c r="CJ180" s="14130"/>
      <c r="CK180" s="14131"/>
      <c r="CL180" s="14132"/>
      <c r="CM180" s="14133"/>
      <c r="CN180" s="14134"/>
      <c r="CO180" s="14135"/>
      <c r="CP180" s="14136"/>
      <c r="CQ180" s="14137"/>
      <c r="CR180" s="14138"/>
      <c r="CS180" s="14139"/>
      <c r="CT180" s="14140"/>
      <c r="CU180" s="14141"/>
      <c r="CV180" s="14142"/>
      <c r="CW180" s="14143"/>
      <c r="CX180" s="14144"/>
      <c r="CY180" s="14145"/>
      <c r="CZ180" s="14146"/>
      <c r="DA180" s="14147"/>
      <c r="DB180" s="14148"/>
      <c r="DC180" s="14149"/>
      <c r="DD180" s="14150"/>
      <c r="DE180" s="14151"/>
      <c r="DF180" s="14152"/>
      <c r="DG180" s="14153"/>
      <c r="DH180" s="14154"/>
      <c r="DI180" s="14155"/>
      <c r="DJ180" s="14156"/>
      <c r="DK180" s="14157"/>
      <c r="DL180" s="14158"/>
      <c r="DM180" s="14159"/>
      <c r="DN180" s="14160"/>
      <c r="DO180" s="14161"/>
      <c r="DP180" s="14162"/>
      <c r="DQ180" s="14163"/>
      <c r="DR180" s="14164"/>
      <c r="DS180" s="9769"/>
      <c r="DT180" s="10065"/>
      <c r="DU180" s="10065" t="str">
        <f>IF(T180="","",T180)</f>
        <v>Добавить группу потребителей</v>
      </c>
      <c r="DV180" s="10065"/>
      <c r="DW180" s="10065"/>
    </row>
    <row s="21585" customFormat="1" customHeight="1" ht="21">
      <c r="A181" s="10052"/>
      <c r="B181" s="10052"/>
      <c r="C181" s="10052"/>
      <c r="D181" s="10052"/>
      <c r="E181" s="10053"/>
      <c r="F181" s="10053" t="s">
        <v>151</v>
      </c>
      <c r="G181" s="10053"/>
      <c r="H181" s="10054"/>
      <c r="I181" s="10052"/>
      <c r="J181" s="10052"/>
      <c r="K181" s="10052"/>
      <c r="L181" s="10055"/>
      <c r="M181" s="10056"/>
      <c r="N181" s="10056"/>
      <c r="O181" s="9754"/>
      <c r="P181" s="10303"/>
      <c r="Q181" s="10304"/>
      <c r="R181" s="10305"/>
      <c r="S181" s="14166"/>
      <c r="T181" s="14167" t="s">
        <v>592</v>
      </c>
      <c r="U181" s="14168"/>
      <c r="V181" s="14169"/>
      <c r="W181" s="14170"/>
      <c r="X181" s="14171"/>
      <c r="Y181" s="14172"/>
      <c r="Z181" s="14173"/>
      <c r="AA181" s="14174"/>
      <c r="AB181" s="14175"/>
      <c r="AC181" s="14176"/>
      <c r="AD181" s="14177"/>
      <c r="AE181" s="14178"/>
      <c r="AF181" s="14179"/>
      <c r="AG181" s="14180"/>
      <c r="AH181" s="14181"/>
      <c r="AI181" s="14182"/>
      <c r="AJ181" s="14183"/>
      <c r="AK181" s="14184"/>
      <c r="AL181" s="14185"/>
      <c r="AM181" s="14186"/>
      <c r="AN181" s="14187"/>
      <c r="AO181" s="14188"/>
      <c r="AP181" s="14189"/>
      <c r="AQ181" s="14190"/>
      <c r="AR181" s="14191"/>
      <c r="AS181" s="14192"/>
      <c r="AT181" s="14193"/>
      <c r="AU181" s="14194"/>
      <c r="AV181" s="14195"/>
      <c r="AW181" s="14196"/>
      <c r="AX181" s="14197"/>
      <c r="AY181" s="14198"/>
      <c r="AZ181" s="14199"/>
      <c r="BA181" s="14200"/>
      <c r="BB181" s="14201"/>
      <c r="BC181" s="14202"/>
      <c r="BD181" s="14203"/>
      <c r="BE181" s="14204"/>
      <c r="BF181" s="14205"/>
      <c r="BG181" s="14206"/>
      <c r="BH181" s="14207"/>
      <c r="BI181" s="14208"/>
      <c r="BJ181" s="14209"/>
      <c r="BK181" s="14210"/>
      <c r="BL181" s="14211"/>
      <c r="BM181" s="14212"/>
      <c r="BN181" s="14213"/>
      <c r="BO181" s="14214"/>
      <c r="BP181" s="14215"/>
      <c r="BQ181" s="14216"/>
      <c r="BR181" s="14217"/>
      <c r="BS181" s="14218"/>
      <c r="BT181" s="14219"/>
      <c r="BU181" s="14220"/>
      <c r="BV181" s="14221"/>
      <c r="BW181" s="14222"/>
      <c r="BX181" s="14223"/>
      <c r="BY181" s="14224"/>
      <c r="BZ181" s="14225"/>
      <c r="CA181" s="14226"/>
      <c r="CB181" s="14227"/>
      <c r="CC181" s="14228"/>
      <c r="CD181" s="14229"/>
      <c r="CE181" s="14230"/>
      <c r="CF181" s="14231"/>
      <c r="CG181" s="14232"/>
      <c r="CH181" s="14233"/>
      <c r="CI181" s="14234"/>
      <c r="CJ181" s="14235"/>
      <c r="CK181" s="14236"/>
      <c r="CL181" s="14237"/>
      <c r="CM181" s="14238"/>
      <c r="CN181" s="14239"/>
      <c r="CO181" s="14240"/>
      <c r="CP181" s="14241"/>
      <c r="CQ181" s="14242"/>
      <c r="CR181" s="14243"/>
      <c r="CS181" s="14244"/>
      <c r="CT181" s="14245"/>
      <c r="CU181" s="14246"/>
      <c r="CV181" s="14247"/>
      <c r="CW181" s="14248"/>
      <c r="CX181" s="14249"/>
      <c r="CY181" s="14250"/>
      <c r="CZ181" s="14251"/>
      <c r="DA181" s="14252"/>
      <c r="DB181" s="14253"/>
      <c r="DC181" s="14254"/>
      <c r="DD181" s="14255"/>
      <c r="DE181" s="14256"/>
      <c r="DF181" s="14257"/>
      <c r="DG181" s="14258"/>
      <c r="DH181" s="14259"/>
      <c r="DI181" s="14260"/>
      <c r="DJ181" s="14261"/>
      <c r="DK181" s="14262"/>
      <c r="DL181" s="14263"/>
      <c r="DM181" s="14264"/>
      <c r="DN181" s="14265"/>
      <c r="DO181" s="14266"/>
      <c r="DP181" s="14267"/>
      <c r="DQ181" s="14268"/>
      <c r="DR181" s="14269"/>
      <c r="DS181" s="9769"/>
      <c r="DT181" s="10065"/>
      <c r="DU181" s="10065" t="str">
        <f>IF(T181="","",T181)</f>
        <v>Добавить наименование признака дифференциации</v>
      </c>
      <c r="DV181" s="10065"/>
      <c r="DW181" s="10065"/>
    </row>
    <row s="21690" customFormat="1" customHeight="1" ht="14.25">
      <c r="A182" s="10411"/>
      <c r="B182" s="10411"/>
      <c r="C182" s="10411"/>
      <c r="D182" s="10411"/>
      <c r="E182" s="10053"/>
      <c r="F182" s="10054" t="s">
        <v>151</v>
      </c>
      <c r="G182" s="10411"/>
      <c r="H182" s="10411"/>
      <c r="I182" s="10411"/>
      <c r="J182" s="10411"/>
      <c r="K182" s="10411"/>
      <c r="L182" s="10412"/>
      <c r="M182" s="10413"/>
      <c r="N182" s="10413"/>
      <c r="O182" s="9769"/>
      <c r="P182" s="10414"/>
      <c r="Q182" s="10415"/>
      <c r="R182" s="10414"/>
      <c r="S182" s="10416"/>
      <c r="T182" s="10417" t="s">
        <v>305</v>
      </c>
      <c r="U182" s="9751"/>
      <c r="V182" s="9751"/>
      <c r="W182" s="9751"/>
      <c r="X182" s="9751"/>
      <c r="Y182" s="9751"/>
      <c r="Z182" s="9751"/>
      <c r="AA182" s="9751"/>
      <c r="AB182" s="9751"/>
      <c r="AC182" s="9751"/>
      <c r="AD182" s="9751"/>
      <c r="AE182" s="9751"/>
      <c r="AF182" s="9751"/>
      <c r="AG182" s="9751"/>
      <c r="AH182" s="9751"/>
      <c r="AI182" s="9751"/>
      <c r="AJ182" s="9751"/>
      <c r="AK182" s="9751"/>
      <c r="AL182" s="9751"/>
      <c r="AM182" s="9751"/>
      <c r="AN182" s="9751"/>
      <c r="AO182" s="9751"/>
      <c r="AP182" s="9751"/>
      <c r="AQ182" s="9751"/>
      <c r="AR182" s="9751"/>
      <c r="AS182" s="9751"/>
      <c r="AT182" s="9751"/>
      <c r="AU182" s="9751"/>
      <c r="AV182" s="9751"/>
      <c r="AW182" s="9751"/>
      <c r="AX182" s="9751"/>
      <c r="AY182" s="9751"/>
      <c r="AZ182" s="9751"/>
      <c r="BA182" s="9751"/>
      <c r="BB182" s="9751"/>
      <c r="BC182" s="9751"/>
      <c r="BD182" s="9751"/>
      <c r="BE182" s="9751"/>
      <c r="BF182" s="9751"/>
      <c r="BG182" s="9751"/>
      <c r="BH182" s="9751"/>
      <c r="BI182" s="9751"/>
      <c r="BJ182" s="9751"/>
      <c r="BK182" s="9751"/>
      <c r="BL182" s="9751"/>
      <c r="BM182" s="9751"/>
      <c r="BN182" s="9751"/>
      <c r="BO182" s="9751"/>
      <c r="BP182" s="9751"/>
      <c r="BQ182" s="9751"/>
      <c r="BR182" s="9751"/>
      <c r="BS182" s="9751"/>
      <c r="BT182" s="9751"/>
      <c r="BU182" s="9751"/>
      <c r="BV182" s="9751"/>
      <c r="BW182" s="9751"/>
      <c r="BX182" s="9751"/>
      <c r="BY182" s="9751"/>
      <c r="BZ182" s="9751"/>
      <c r="CA182" s="9751"/>
      <c r="CB182" s="9751"/>
      <c r="CC182" s="9751"/>
      <c r="CD182" s="9751"/>
      <c r="CE182" s="9751"/>
      <c r="CF182" s="9751"/>
      <c r="CG182" s="9751"/>
      <c r="CH182" s="9751"/>
      <c r="CI182" s="9751"/>
      <c r="CJ182" s="9751"/>
      <c r="CK182" s="9751"/>
      <c r="CL182" s="9751"/>
      <c r="CM182" s="9751"/>
      <c r="CN182" s="9751"/>
      <c r="CO182" s="9751"/>
      <c r="CP182" s="9751"/>
      <c r="CQ182" s="9751"/>
      <c r="CR182" s="9751"/>
      <c r="CS182" s="9751"/>
      <c r="CT182" s="10418"/>
      <c r="CU182" s="9751"/>
      <c r="CV182" s="9751"/>
      <c r="CW182" s="9751"/>
      <c r="CX182" s="9751"/>
      <c r="CY182" s="9751"/>
      <c r="CZ182" s="9751"/>
      <c r="DA182" s="9751"/>
      <c r="DB182" s="9751"/>
      <c r="DC182" s="9751"/>
      <c r="DD182" s="9751"/>
      <c r="DE182" s="9751"/>
      <c r="DF182" s="9751"/>
      <c r="DG182" s="9751"/>
      <c r="DH182" s="9751"/>
      <c r="DI182" s="9751"/>
      <c r="DJ182" s="9751"/>
      <c r="DK182" s="9751"/>
      <c r="DL182" s="9751"/>
      <c r="DM182" s="9751"/>
      <c r="DN182" s="9751"/>
      <c r="DO182" s="9751"/>
      <c r="DP182" s="9751"/>
      <c r="DQ182" s="9751"/>
      <c r="DR182" s="9751"/>
      <c r="DS182" s="9769"/>
      <c r="DT182" s="10065"/>
      <c r="DU182" s="10065" t="str">
        <f>IF(T182="","",T182)</f>
        <v>Добавить централизованную систему для дифференциации</v>
      </c>
      <c r="DV182" s="10065"/>
      <c r="DW182" s="10065"/>
    </row>
    <row s="16622" customFormat="1" customHeight="1" ht="0">
      <c r="A183" s="1570" t="s">
        <v>302</v>
      </c>
      <c r="B183" s="1570"/>
      <c r="C183" s="1570"/>
      <c r="D183" s="1570"/>
      <c r="E183" s="2388"/>
      <c r="F183" s="1570"/>
      <c r="G183" s="1570"/>
      <c r="H183" s="1570"/>
      <c r="I183" s="1570"/>
      <c r="J183" s="1570"/>
      <c r="K183" s="1570"/>
      <c r="L183" s="1573"/>
      <c r="M183" s="1548"/>
      <c r="N183" s="1548"/>
      <c r="O183" s="740"/>
      <c r="P183" s="602"/>
      <c r="Q183" s="1571"/>
      <c r="R183" s="602"/>
      <c r="S183" s="1549"/>
      <c r="T183" s="1552" t="s">
        <v>358</v>
      </c>
      <c r="U183" s="1551"/>
      <c r="V183" s="1551"/>
      <c r="W183" s="1551"/>
      <c r="X183" s="1551"/>
      <c r="Y183" s="1551"/>
      <c r="Z183" s="1551"/>
      <c r="AA183" s="1551"/>
      <c r="AB183" s="1551"/>
      <c r="AC183" s="1551"/>
      <c r="AD183" s="1551"/>
      <c r="AE183" s="1551"/>
      <c r="AF183" s="1551"/>
      <c r="AG183" s="1551"/>
      <c r="AH183" s="1551"/>
      <c r="AI183" s="1551"/>
      <c r="AJ183" s="1551"/>
      <c r="AK183" s="1551"/>
      <c r="AL183" s="1551"/>
      <c r="AM183" s="1551"/>
      <c r="AN183" s="1551"/>
      <c r="AO183" s="1551"/>
      <c r="AP183" s="1551"/>
      <c r="AQ183" s="1551"/>
      <c r="AR183" s="6625"/>
      <c r="AS183" s="6625"/>
      <c r="AT183" s="6625"/>
      <c r="AU183" s="6625"/>
      <c r="AV183" s="6625"/>
      <c r="AW183" s="6625"/>
      <c r="AX183" s="6625"/>
      <c r="AY183" s="6625"/>
      <c r="AZ183" s="6625"/>
      <c r="BA183" s="6625"/>
      <c r="BB183" s="6625"/>
      <c r="BC183" s="6625"/>
      <c r="BD183" s="6625"/>
      <c r="BE183" s="6625"/>
      <c r="BF183" s="6625"/>
      <c r="BG183" s="6625"/>
      <c r="BH183" s="6625"/>
      <c r="BI183" s="6625"/>
      <c r="BJ183" s="6625"/>
      <c r="BK183" s="6625"/>
      <c r="BL183" s="6625"/>
      <c r="BM183" s="6625"/>
      <c r="BN183" s="6625"/>
      <c r="BO183" s="6625"/>
      <c r="BP183" s="6625"/>
      <c r="BQ183" s="6625"/>
      <c r="BR183" s="6625"/>
      <c r="BS183" s="6625"/>
      <c r="BT183" s="6625"/>
      <c r="BU183" s="6625"/>
      <c r="BV183" s="6625"/>
      <c r="BW183" s="6625"/>
      <c r="BX183" s="6625"/>
      <c r="BY183" s="6625"/>
      <c r="BZ183" s="6625"/>
      <c r="CA183" s="6625"/>
      <c r="CB183" s="6625"/>
      <c r="CC183" s="6625"/>
      <c r="CD183" s="6625"/>
      <c r="CE183" s="6625"/>
      <c r="CF183" s="6625"/>
      <c r="CG183" s="6625"/>
      <c r="CH183" s="6625"/>
      <c r="CI183" s="6625"/>
      <c r="CJ183" s="6625"/>
      <c r="CK183" s="6625"/>
      <c r="CL183" s="6625"/>
      <c r="CM183" s="6625"/>
      <c r="CN183" s="6625"/>
      <c r="CO183" s="6625"/>
      <c r="CP183" s="6625"/>
      <c r="CQ183" s="6625"/>
      <c r="CR183" s="6625"/>
      <c r="CS183" s="6625"/>
      <c r="CT183" s="6625"/>
      <c r="CU183" s="9751"/>
      <c r="CV183" s="9751"/>
      <c r="CW183" s="9751"/>
      <c r="CX183" s="9751"/>
      <c r="CY183" s="9751"/>
      <c r="CZ183" s="9751"/>
      <c r="DA183" s="9751"/>
      <c r="DB183" s="9751"/>
      <c r="DC183" s="9751"/>
      <c r="DD183" s="9751"/>
      <c r="DE183" s="9751"/>
      <c r="DF183" s="9751"/>
      <c r="DG183" s="9751"/>
      <c r="DH183" s="9751"/>
      <c r="DI183" s="9751"/>
      <c r="DJ183" s="9751"/>
      <c r="DK183" s="9751"/>
      <c r="DL183" s="9751"/>
      <c r="DM183" s="9751"/>
      <c r="DN183" s="9751"/>
      <c r="DO183" s="9751"/>
      <c r="DP183" s="9751"/>
      <c r="DQ183" s="1551"/>
      <c r="DR183" s="1551"/>
      <c r="DT183" s="722"/>
      <c r="DU183" s="722" t="str">
        <f>IF(T183="","",T183)</f>
        <v>Добавить территорию для дифференциации</v>
      </c>
      <c r="DV183" s="722"/>
      <c r="DW183" s="722"/>
    </row>
    <row s="16531" customFormat="1" customHeight="1" ht="0">
      <c r="A184" s="1541"/>
      <c r="B184" s="1541"/>
      <c r="C184" s="1541"/>
      <c r="D184" s="1541"/>
      <c r="E184" s="1570"/>
      <c r="F184" s="1541"/>
      <c r="G184" s="1541"/>
      <c r="H184" s="1541"/>
      <c r="I184" s="1541"/>
      <c r="J184" s="1541"/>
      <c r="K184" s="1541"/>
      <c r="L184" s="1721"/>
      <c r="M184" s="1548"/>
      <c r="N184" s="1548"/>
      <c r="P184" s="1543"/>
      <c r="Q184" s="1544"/>
      <c r="R184" s="1543"/>
      <c r="S184" s="1549"/>
      <c r="T184" s="1552" t="s">
        <v>359</v>
      </c>
      <c r="U184" s="1551"/>
      <c r="V184" s="1551"/>
      <c r="W184" s="1551"/>
      <c r="X184" s="1551"/>
      <c r="Y184" s="1551"/>
      <c r="Z184" s="1551"/>
      <c r="AA184" s="1551"/>
      <c r="AB184" s="1551"/>
      <c r="AC184" s="1551"/>
      <c r="AD184" s="1551"/>
      <c r="AE184" s="1551"/>
      <c r="AF184" s="1551"/>
      <c r="AG184" s="1551"/>
      <c r="AH184" s="1551"/>
      <c r="AI184" s="1551"/>
      <c r="AJ184" s="1551"/>
      <c r="AK184" s="1551"/>
      <c r="AL184" s="1551"/>
      <c r="AM184" s="1551"/>
      <c r="AN184" s="1551"/>
      <c r="AO184" s="1551"/>
      <c r="AP184" s="1551"/>
      <c r="AQ184" s="1551"/>
      <c r="AR184" s="6625"/>
      <c r="AS184" s="6625"/>
      <c r="AT184" s="6625"/>
      <c r="AU184" s="6625"/>
      <c r="AV184" s="6625"/>
      <c r="AW184" s="6625"/>
      <c r="AX184" s="6625"/>
      <c r="AY184" s="6625"/>
      <c r="AZ184" s="6625"/>
      <c r="BA184" s="6625"/>
      <c r="BB184" s="6625"/>
      <c r="BC184" s="6625"/>
      <c r="BD184" s="6625"/>
      <c r="BE184" s="6625"/>
      <c r="BF184" s="6625"/>
      <c r="BG184" s="6625"/>
      <c r="BH184" s="6625"/>
      <c r="BI184" s="6625"/>
      <c r="BJ184" s="6625"/>
      <c r="BK184" s="6625"/>
      <c r="BL184" s="6625"/>
      <c r="BM184" s="6625"/>
      <c r="BN184" s="6625"/>
      <c r="BO184" s="6625"/>
      <c r="BP184" s="6625"/>
      <c r="BQ184" s="6625"/>
      <c r="BR184" s="6625"/>
      <c r="BS184" s="6625"/>
      <c r="BT184" s="6625"/>
      <c r="BU184" s="6625"/>
      <c r="BV184" s="6625"/>
      <c r="BW184" s="6625"/>
      <c r="BX184" s="6625"/>
      <c r="BY184" s="6625"/>
      <c r="BZ184" s="6625"/>
      <c r="CA184" s="6625"/>
      <c r="CB184" s="6625"/>
      <c r="CC184" s="6625"/>
      <c r="CD184" s="6625"/>
      <c r="CE184" s="6625"/>
      <c r="CF184" s="6625"/>
      <c r="CG184" s="6625"/>
      <c r="CH184" s="6625"/>
      <c r="CI184" s="6625"/>
      <c r="CJ184" s="6625"/>
      <c r="CK184" s="6625"/>
      <c r="CL184" s="6625"/>
      <c r="CM184" s="6625"/>
      <c r="CN184" s="6625"/>
      <c r="CO184" s="6625"/>
      <c r="CP184" s="6625"/>
      <c r="CQ184" s="6625"/>
      <c r="CR184" s="6625"/>
      <c r="CS184" s="6625"/>
      <c r="CT184" s="6625"/>
      <c r="CU184" s="9751"/>
      <c r="CV184" s="9751"/>
      <c r="CW184" s="9751"/>
      <c r="CX184" s="9751"/>
      <c r="CY184" s="9751"/>
      <c r="CZ184" s="9751"/>
      <c r="DA184" s="9751"/>
      <c r="DB184" s="9751"/>
      <c r="DC184" s="9751"/>
      <c r="DD184" s="9751"/>
      <c r="DE184" s="9751"/>
      <c r="DF184" s="9751"/>
      <c r="DG184" s="9751"/>
      <c r="DH184" s="9751"/>
      <c r="DI184" s="9751"/>
      <c r="DJ184" s="9751"/>
      <c r="DK184" s="9751"/>
      <c r="DL184" s="9751"/>
      <c r="DM184" s="9751"/>
      <c r="DN184" s="9751"/>
      <c r="DO184" s="9751"/>
      <c r="DP184" s="9751"/>
      <c r="DQ184" s="1551"/>
      <c r="DR184" s="1551"/>
      <c r="DT184" s="1011"/>
      <c r="DU184" s="1011" t="str">
        <f>IF(T184="","",T184)</f>
        <v>Добавить наименование тарифа</v>
      </c>
      <c r="DV184" s="1011"/>
      <c r="DW184" s="1011"/>
    </row>
    <row customHeight="1" ht="11.25">
      <c r="M185" s="1384"/>
      <c r="N185" s="1384"/>
      <c r="O185" s="759"/>
      <c r="P185" s="1379"/>
      <c r="Q185" s="1379"/>
      <c r="R185" s="1379"/>
      <c r="S185" s="1379"/>
      <c r="AR185" s="6445"/>
      <c r="AS185" s="6445"/>
      <c r="AT185" s="6445"/>
      <c r="AU185" s="6445"/>
      <c r="AV185" s="6445"/>
      <c r="AW185" s="6445"/>
      <c r="AX185" s="6445"/>
      <c r="AY185" s="6445"/>
      <c r="AZ185" s="6445"/>
      <c r="BA185" s="6445"/>
      <c r="BB185" s="6445"/>
      <c r="BC185" s="6445"/>
      <c r="BD185" s="6445"/>
      <c r="BE185" s="6445"/>
      <c r="BF185" s="6445"/>
      <c r="BG185" s="6445"/>
      <c r="BH185" s="6445"/>
      <c r="BI185" s="6445"/>
      <c r="BJ185" s="6445"/>
      <c r="BK185" s="6445"/>
      <c r="BL185" s="6445"/>
      <c r="BM185" s="6445"/>
      <c r="BN185" s="6445"/>
      <c r="BO185" s="6445"/>
      <c r="BP185" s="6445"/>
      <c r="BQ185" s="6445"/>
      <c r="BR185" s="6445"/>
      <c r="BS185" s="6445"/>
      <c r="BT185" s="6445"/>
      <c r="BU185" s="6445"/>
      <c r="BV185" s="6445"/>
      <c r="BW185" s="6445"/>
      <c r="BX185" s="6445"/>
      <c r="BY185" s="6445"/>
      <c r="BZ185" s="6445"/>
      <c r="CA185" s="6445"/>
      <c r="CB185" s="6445"/>
      <c r="CC185" s="6445"/>
      <c r="CD185" s="6445"/>
      <c r="CE185" s="6445"/>
      <c r="CF185" s="6445"/>
      <c r="CG185" s="6445"/>
      <c r="CH185" s="6445"/>
      <c r="CI185" s="6445"/>
      <c r="CJ185" s="6445"/>
      <c r="CK185" s="6445"/>
      <c r="CL185" s="6445"/>
      <c r="CM185" s="6445"/>
      <c r="CN185" s="6445"/>
      <c r="CO185" s="6445"/>
      <c r="CP185" s="6445"/>
      <c r="CQ185" s="6445"/>
      <c r="CR185" s="6445"/>
      <c r="CS185" s="6445"/>
      <c r="CT185" s="6445"/>
      <c r="CU185" s="9490"/>
      <c r="CV185" s="9490"/>
      <c r="CW185" s="9490"/>
      <c r="CX185" s="9490"/>
      <c r="CY185" s="9490"/>
      <c r="CZ185" s="9490"/>
      <c r="DA185" s="9490"/>
      <c r="DB185" s="9490"/>
      <c r="DC185" s="9490"/>
      <c r="DD185" s="9490"/>
      <c r="DE185" s="9490"/>
      <c r="DF185" s="9490"/>
      <c r="DG185" s="9490"/>
      <c r="DH185" s="9490"/>
      <c r="DI185" s="9490"/>
      <c r="DJ185" s="9490"/>
      <c r="DK185" s="9490"/>
      <c r="DL185" s="9490"/>
      <c r="DM185" s="9490"/>
      <c r="DN185" s="9490"/>
      <c r="DO185" s="9490"/>
      <c r="DP185" s="9490"/>
      <c r="DS185" s="1379"/>
      <c r="DT185" s="1379"/>
      <c r="DU185" s="1379"/>
      <c r="DV185" s="1379"/>
      <c r="DW185" s="1379"/>
    </row>
    <row customHeight="1" ht="14.25">
      <c r="O186" s="759"/>
      <c r="S186" s="1479"/>
      <c r="T186" s="2387"/>
      <c r="U186" s="2387"/>
      <c r="V186" s="2387"/>
      <c r="W186" s="2387"/>
      <c r="X186" s="2387"/>
      <c r="Y186" s="2387"/>
      <c r="Z186" s="2387"/>
      <c r="AA186" s="2387"/>
      <c r="AB186" s="2387"/>
      <c r="AC186" s="2387"/>
      <c r="AD186" s="2387"/>
      <c r="AE186" s="2387"/>
      <c r="AF186" s="2387"/>
      <c r="AG186" s="2387"/>
      <c r="AH186" s="2387"/>
      <c r="AI186" s="2387"/>
      <c r="AJ186" s="2387"/>
      <c r="AK186" s="2387"/>
      <c r="AL186" s="2387"/>
      <c r="AM186" s="2387"/>
      <c r="AN186" s="2387"/>
      <c r="AO186" s="2387"/>
      <c r="AP186" s="2387"/>
      <c r="AQ186" s="2387"/>
      <c r="AR186" s="6827"/>
      <c r="AS186" s="6827"/>
      <c r="AT186" s="6827"/>
      <c r="AU186" s="6827"/>
      <c r="AV186" s="6827"/>
      <c r="AW186" s="6827"/>
      <c r="AX186" s="6827"/>
      <c r="AY186" s="6827"/>
      <c r="AZ186" s="6827"/>
      <c r="BA186" s="6827"/>
      <c r="BB186" s="6827"/>
      <c r="BC186" s="6827"/>
      <c r="BD186" s="6827"/>
      <c r="BE186" s="6827"/>
      <c r="BF186" s="6827"/>
      <c r="BG186" s="6827"/>
      <c r="BH186" s="6827"/>
      <c r="BI186" s="6827"/>
      <c r="BJ186" s="6827"/>
      <c r="BK186" s="6827"/>
      <c r="BL186" s="6827"/>
      <c r="BM186" s="6827"/>
      <c r="BN186" s="6827"/>
      <c r="BO186" s="6827"/>
      <c r="BP186" s="6827"/>
      <c r="BQ186" s="6827"/>
      <c r="BR186" s="6827"/>
      <c r="BS186" s="6827"/>
      <c r="BT186" s="6827"/>
      <c r="BU186" s="6827"/>
      <c r="BV186" s="6827"/>
      <c r="BW186" s="6827"/>
      <c r="BX186" s="6827"/>
      <c r="BY186" s="6827"/>
      <c r="BZ186" s="6827"/>
      <c r="CA186" s="6827"/>
      <c r="CB186" s="6827"/>
      <c r="CC186" s="6827"/>
      <c r="CD186" s="6827"/>
      <c r="CE186" s="6827"/>
      <c r="CF186" s="6827"/>
      <c r="CG186" s="6827"/>
      <c r="CH186" s="6827"/>
      <c r="CI186" s="6827"/>
      <c r="CJ186" s="6827"/>
      <c r="CK186" s="6827"/>
      <c r="CL186" s="6827"/>
      <c r="CM186" s="6827"/>
      <c r="CN186" s="6827"/>
      <c r="CO186" s="6827"/>
      <c r="CP186" s="6827"/>
      <c r="CQ186" s="6827"/>
      <c r="CR186" s="6827"/>
      <c r="CS186" s="6827"/>
      <c r="CT186" s="6827"/>
      <c r="CU186" s="14272"/>
      <c r="CV186" s="14272"/>
      <c r="CW186" s="14272"/>
      <c r="CX186" s="14272"/>
      <c r="CY186" s="14272"/>
      <c r="CZ186" s="14272"/>
      <c r="DA186" s="14272"/>
      <c r="DB186" s="14272"/>
      <c r="DC186" s="14272"/>
      <c r="DD186" s="14272"/>
      <c r="DE186" s="14272"/>
      <c r="DF186" s="14272"/>
      <c r="DG186" s="14272"/>
      <c r="DH186" s="14272"/>
      <c r="DI186" s="14272"/>
      <c r="DJ186" s="14272"/>
      <c r="DK186" s="14272"/>
      <c r="DL186" s="14272"/>
      <c r="DM186" s="14272"/>
      <c r="DN186" s="14272"/>
      <c r="DO186" s="14272"/>
      <c r="DP186" s="14272"/>
      <c r="DQ186" s="2387"/>
      <c r="DR186" s="2387"/>
    </row>
    <row customHeight="1" ht="14.25">
      <c r="O187" s="759"/>
      <c r="AR187" s="6445"/>
      <c r="AS187" s="6445"/>
      <c r="AT187" s="6445"/>
      <c r="AU187" s="6445"/>
      <c r="AV187" s="6445"/>
      <c r="AW187" s="6445"/>
      <c r="AX187" s="6445"/>
      <c r="AY187" s="6445"/>
      <c r="AZ187" s="6445"/>
      <c r="BA187" s="6445"/>
      <c r="BB187" s="6445"/>
      <c r="BC187" s="6445"/>
      <c r="BD187" s="6445"/>
      <c r="BE187" s="6445"/>
      <c r="BF187" s="6445"/>
      <c r="BG187" s="6445"/>
      <c r="BH187" s="6445"/>
      <c r="BI187" s="6445"/>
      <c r="BJ187" s="6445"/>
      <c r="BK187" s="6445"/>
      <c r="BL187" s="6445"/>
      <c r="BM187" s="6445"/>
      <c r="BN187" s="6445"/>
      <c r="BO187" s="6445"/>
      <c r="BP187" s="6445"/>
      <c r="BQ187" s="6445"/>
      <c r="BR187" s="6445"/>
      <c r="BS187" s="6445"/>
      <c r="BT187" s="6445"/>
      <c r="BU187" s="6445"/>
      <c r="BV187" s="6445"/>
      <c r="BW187" s="6445"/>
      <c r="BX187" s="6445"/>
      <c r="BY187" s="6445"/>
      <c r="BZ187" s="6445"/>
      <c r="CA187" s="6445"/>
      <c r="CB187" s="6445"/>
      <c r="CC187" s="6445"/>
      <c r="CD187" s="6445"/>
      <c r="CE187" s="6445"/>
      <c r="CF187" s="6445"/>
      <c r="CG187" s="6445"/>
      <c r="CH187" s="6445"/>
      <c r="CI187" s="6445"/>
      <c r="CJ187" s="6445"/>
      <c r="CK187" s="6445"/>
      <c r="CL187" s="6445"/>
      <c r="CM187" s="6445"/>
      <c r="CN187" s="6445"/>
      <c r="CO187" s="6445"/>
      <c r="CP187" s="6445"/>
      <c r="CQ187" s="6445"/>
      <c r="CR187" s="6445"/>
      <c r="CS187" s="6445"/>
      <c r="CT187" s="6445"/>
      <c r="CU187" s="9490"/>
      <c r="CV187" s="9490"/>
      <c r="CW187" s="9490"/>
      <c r="CX187" s="9490"/>
      <c r="CY187" s="9490"/>
      <c r="CZ187" s="9490"/>
      <c r="DA187" s="9490"/>
      <c r="DB187" s="9490"/>
      <c r="DC187" s="9490"/>
      <c r="DD187" s="9490"/>
      <c r="DE187" s="9490"/>
      <c r="DF187" s="9490"/>
      <c r="DG187" s="9490"/>
      <c r="DH187" s="9490"/>
      <c r="DI187" s="9490"/>
      <c r="DJ187" s="9490"/>
      <c r="DK187" s="9490"/>
      <c r="DL187" s="9490"/>
      <c r="DM187" s="9490"/>
      <c r="DN187" s="9490"/>
      <c r="DO187" s="9490"/>
      <c r="DP187" s="9490"/>
    </row>
    <row customHeight="1" ht="14.25">
      <c r="O188" s="759"/>
      <c r="S188" s="1479"/>
      <c r="T188" s="2387"/>
      <c r="U188" s="2387"/>
      <c r="V188" s="2387"/>
      <c r="W188" s="2387"/>
      <c r="X188" s="2387"/>
      <c r="Y188" s="2387"/>
      <c r="Z188" s="2387"/>
      <c r="AA188" s="2387"/>
      <c r="AB188" s="2387"/>
      <c r="AC188" s="2387"/>
      <c r="AD188" s="2387"/>
      <c r="AE188" s="2387"/>
      <c r="AF188" s="2387"/>
      <c r="AG188" s="2387"/>
      <c r="AH188" s="2387"/>
      <c r="AI188" s="2387"/>
      <c r="AJ188" s="2387"/>
      <c r="AK188" s="2387"/>
      <c r="AL188" s="2387"/>
      <c r="AM188" s="2387"/>
      <c r="AN188" s="2387"/>
      <c r="AO188" s="2387"/>
      <c r="AP188" s="2387"/>
      <c r="AQ188" s="2387"/>
      <c r="AR188" s="6827"/>
      <c r="AS188" s="6827"/>
      <c r="AT188" s="6827"/>
      <c r="AU188" s="6827"/>
      <c r="AV188" s="6827"/>
      <c r="AW188" s="6827"/>
      <c r="AX188" s="6827"/>
      <c r="AY188" s="6827"/>
      <c r="AZ188" s="6827"/>
      <c r="BA188" s="6827"/>
      <c r="BB188" s="6827"/>
      <c r="BC188" s="6827"/>
      <c r="BD188" s="6827"/>
      <c r="BE188" s="6827"/>
      <c r="BF188" s="6827"/>
      <c r="BG188" s="6827"/>
      <c r="BH188" s="6827"/>
      <c r="BI188" s="6827"/>
      <c r="BJ188" s="6827"/>
      <c r="BK188" s="6827"/>
      <c r="BL188" s="6827"/>
      <c r="BM188" s="6827"/>
      <c r="BN188" s="6827"/>
      <c r="BO188" s="6827"/>
      <c r="BP188" s="6827"/>
      <c r="BQ188" s="6827"/>
      <c r="BR188" s="6827"/>
      <c r="BS188" s="6827"/>
      <c r="BT188" s="6827"/>
      <c r="BU188" s="6827"/>
      <c r="BV188" s="6827"/>
      <c r="BW188" s="6827"/>
      <c r="BX188" s="6827"/>
      <c r="BY188" s="6827"/>
      <c r="BZ188" s="6827"/>
      <c r="CA188" s="6827"/>
      <c r="CB188" s="6827"/>
      <c r="CC188" s="6827"/>
      <c r="CD188" s="6827"/>
      <c r="CE188" s="6827"/>
      <c r="CF188" s="6827"/>
      <c r="CG188" s="6827"/>
      <c r="CH188" s="6827"/>
      <c r="CI188" s="6827"/>
      <c r="CJ188" s="6827"/>
      <c r="CK188" s="6827"/>
      <c r="CL188" s="6827"/>
      <c r="CM188" s="6827"/>
      <c r="CN188" s="6827"/>
      <c r="CO188" s="6827"/>
      <c r="CP188" s="6827"/>
      <c r="CQ188" s="6827"/>
      <c r="CR188" s="6827"/>
      <c r="CS188" s="6827"/>
      <c r="CT188" s="6827"/>
      <c r="CU188" s="14272"/>
      <c r="CV188" s="14272"/>
      <c r="CW188" s="14272"/>
      <c r="CX188" s="14272"/>
      <c r="CY188" s="14272"/>
      <c r="CZ188" s="14272"/>
      <c r="DA188" s="14272"/>
      <c r="DB188" s="14272"/>
      <c r="DC188" s="14272"/>
      <c r="DD188" s="14272"/>
      <c r="DE188" s="14272"/>
      <c r="DF188" s="14272"/>
      <c r="DG188" s="14272"/>
      <c r="DH188" s="14272"/>
      <c r="DI188" s="14272"/>
      <c r="DJ188" s="14272"/>
      <c r="DK188" s="14272"/>
      <c r="DL188" s="14272"/>
      <c r="DM188" s="14272"/>
      <c r="DN188" s="14272"/>
      <c r="DO188" s="14272"/>
      <c r="DP188" s="14272"/>
      <c r="DQ188" s="2387"/>
      <c r="DR188" s="2387"/>
    </row>
  </sheetData>
  <sheetProtection formatColumns="0" formatRows="0" autoFilter="0" sort="0" insertRows="0" insertColumns="1" deleteRows="0" deleteColumns="0"/>
  <mergeCells count="991">
    <mergeCell ref="AH38:AJ38"/>
    <mergeCell ref="AK38:AM38"/>
    <mergeCell ref="AH39:AH40"/>
    <mergeCell ref="AI39:AJ39"/>
    <mergeCell ref="AK39:AK40"/>
    <mergeCell ref="X39:Y39"/>
    <mergeCell ref="W39:W40"/>
    <mergeCell ref="Z39:Z40"/>
    <mergeCell ref="AA39:AB39"/>
    <mergeCell ref="W38:Y38"/>
    <mergeCell ref="E2:E13"/>
    <mergeCell ref="V2:AF2"/>
    <mergeCell ref="AG2:DQ2"/>
    <mergeCell ref="F3:F12"/>
    <mergeCell ref="V3:AF3"/>
    <mergeCell ref="AG3:DQ3"/>
    <mergeCell ref="G4:G11"/>
    <mergeCell ref="V4:AF4"/>
    <mergeCell ref="AG4:DQ4"/>
    <mergeCell ref="H5:H11"/>
    <mergeCell ref="I5:I10"/>
    <mergeCell ref="P5:P10"/>
    <mergeCell ref="V5:AF5"/>
    <mergeCell ref="AG5:DQ5"/>
    <mergeCell ref="J6:J9"/>
    <mergeCell ref="Q6:Q9"/>
    <mergeCell ref="V6:AF6"/>
    <mergeCell ref="AG6:DQ6"/>
    <mergeCell ref="K7:K8"/>
    <mergeCell ref="AC7:AC8"/>
    <mergeCell ref="AQ7:AQ8"/>
    <mergeCell ref="S29:T29"/>
    <mergeCell ref="AG38:AG40"/>
    <mergeCell ref="DR7:DR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DR36:DR40"/>
    <mergeCell ref="S37:S40"/>
    <mergeCell ref="T37:T40"/>
    <mergeCell ref="V37:AE37"/>
    <mergeCell ref="AF37:AF40"/>
    <mergeCell ref="AG37:AP37"/>
    <mergeCell ref="AQ37:AQ40"/>
    <mergeCell ref="S32:T32"/>
    <mergeCell ref="V32:AE32"/>
    <mergeCell ref="AG32:AP32"/>
    <mergeCell ref="S33:T33"/>
    <mergeCell ref="V33:AE33"/>
    <mergeCell ref="AG33:AP33"/>
    <mergeCell ref="DQ37:DQ40"/>
    <mergeCell ref="AD40:AE40"/>
    <mergeCell ref="AO40:AP40"/>
    <mergeCell ref="V35:AF35"/>
    <mergeCell ref="AG35:AQ35"/>
    <mergeCell ref="S36:DQ36"/>
    <mergeCell ref="AN38:AP39"/>
    <mergeCell ref="AC38:AE39"/>
    <mergeCell ref="AL39:AM39"/>
    <mergeCell ref="Z38:AB38"/>
    <mergeCell ref="V38:V40"/>
    <mergeCell ref="AD41:AE41"/>
    <mergeCell ref="AO41:AP41"/>
    <mergeCell ref="E42:E183"/>
    <mergeCell ref="V42:AF42"/>
    <mergeCell ref="AG42:DQ42"/>
    <mergeCell ref="F43:F52"/>
    <mergeCell ref="V43:AF43"/>
    <mergeCell ref="AG43:DQ43"/>
    <mergeCell ref="G44:G51"/>
    <mergeCell ref="V44:AF44"/>
    <mergeCell ref="AG44:DQ44"/>
    <mergeCell ref="H45:H51"/>
    <mergeCell ref="I45:I50"/>
    <mergeCell ref="P45:P50"/>
    <mergeCell ref="V45:AF45"/>
    <mergeCell ref="AG45:DQ45"/>
    <mergeCell ref="J46:J49"/>
    <mergeCell ref="Q46:Q49"/>
    <mergeCell ref="V46:AF46"/>
    <mergeCell ref="AG46:DQ46"/>
    <mergeCell ref="AO47:AO48"/>
    <mergeCell ref="AP47:AP48"/>
    <mergeCell ref="AQ47:AQ48"/>
    <mergeCell ref="DR47:DR48"/>
    <mergeCell ref="T186:DR186"/>
    <mergeCell ref="T188:DR188"/>
    <mergeCell ref="K47:K48"/>
    <mergeCell ref="AN47:AN48"/>
    <mergeCell ref="AT39:AU39"/>
    <mergeCell ref="AS39:AS40"/>
    <mergeCell ref="AV39:AV40"/>
    <mergeCell ref="AW39:AX39"/>
    <mergeCell ref="AS38:AU38"/>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R38:AR40"/>
    <mergeCell ref="AV38:AX38"/>
    <mergeCell ref="AY38:BA39"/>
    <mergeCell ref="AZ40:BA40"/>
    <mergeCell ref="AZ41:BA41"/>
    <mergeCell ref="BB47:BB48"/>
    <mergeCell ref="AY47:AY48"/>
    <mergeCell ref="AZ47:AZ48"/>
    <mergeCell ref="BA47:BA48"/>
    <mergeCell ref="AF47:AF48"/>
    <mergeCell ref="AC47:AC48"/>
    <mergeCell ref="AD47:AD48"/>
    <mergeCell ref="AE47:AE48"/>
    <mergeCell ref="BE39:BF39"/>
    <mergeCell ref="BD39:BD40"/>
    <mergeCell ref="BG39:BG40"/>
    <mergeCell ref="BH39:BI39"/>
    <mergeCell ref="BD38:BF38"/>
    <mergeCell ref="BJ7:BJ8"/>
    <mergeCell ref="BK7:BK8"/>
    <mergeCell ref="BL7:BL8"/>
    <mergeCell ref="BM7:BM8"/>
    <mergeCell ref="BC27:BL27"/>
    <mergeCell ref="BC28:BL28"/>
    <mergeCell ref="BC29:BL29"/>
    <mergeCell ref="BC30:BL30"/>
    <mergeCell ref="BC32:BL32"/>
    <mergeCell ref="BC33:BL33"/>
    <mergeCell ref="BC35:BM35"/>
    <mergeCell ref="BC37:BL37"/>
    <mergeCell ref="BM37:BM40"/>
    <mergeCell ref="BC38:BC40"/>
    <mergeCell ref="BG38:BI38"/>
    <mergeCell ref="BJ38:BL39"/>
    <mergeCell ref="BK40:BL40"/>
    <mergeCell ref="BK41:BL41"/>
    <mergeCell ref="BJ47:BJ48"/>
    <mergeCell ref="BK47:BK48"/>
    <mergeCell ref="BL47:BL48"/>
    <mergeCell ref="BM47:BM48"/>
    <mergeCell ref="BP39:BQ39"/>
    <mergeCell ref="BO39:BO40"/>
    <mergeCell ref="BR39:BR40"/>
    <mergeCell ref="BS39:BT39"/>
    <mergeCell ref="BO38:BQ38"/>
    <mergeCell ref="BU7:BU8"/>
    <mergeCell ref="BV7:BV8"/>
    <mergeCell ref="BW7:BW8"/>
    <mergeCell ref="BX7:BX8"/>
    <mergeCell ref="BN27:BW27"/>
    <mergeCell ref="BN28:BW28"/>
    <mergeCell ref="BN29:BW29"/>
    <mergeCell ref="BN30:BW30"/>
    <mergeCell ref="BN32:BW32"/>
    <mergeCell ref="BN33:BW33"/>
    <mergeCell ref="BN35:BX35"/>
    <mergeCell ref="BN37:BW37"/>
    <mergeCell ref="BX37:BX40"/>
    <mergeCell ref="BN38:BN40"/>
    <mergeCell ref="BR38:BT38"/>
    <mergeCell ref="BU38:BW39"/>
    <mergeCell ref="BV40:BW40"/>
    <mergeCell ref="BV41:BW41"/>
    <mergeCell ref="BU47:BU48"/>
    <mergeCell ref="BV47:BV48"/>
    <mergeCell ref="BW47:BW48"/>
    <mergeCell ref="BX47:BX48"/>
    <mergeCell ref="CA39:CB39"/>
    <mergeCell ref="BZ39:BZ40"/>
    <mergeCell ref="CC39:CC40"/>
    <mergeCell ref="CD39:CE39"/>
    <mergeCell ref="BZ38:CB38"/>
    <mergeCell ref="CF7:CF8"/>
    <mergeCell ref="CG7:CG8"/>
    <mergeCell ref="CH7:CH8"/>
    <mergeCell ref="CI7:CI8"/>
    <mergeCell ref="BY27:CH27"/>
    <mergeCell ref="BY28:CH28"/>
    <mergeCell ref="BY29:CH29"/>
    <mergeCell ref="BY30:CH30"/>
    <mergeCell ref="BY32:CH32"/>
    <mergeCell ref="BY33:CH33"/>
    <mergeCell ref="BY35:CI35"/>
    <mergeCell ref="BY37:CH37"/>
    <mergeCell ref="CI37:CI40"/>
    <mergeCell ref="BY38:BY40"/>
    <mergeCell ref="CC38:CE38"/>
    <mergeCell ref="CF38:CH39"/>
    <mergeCell ref="CG40:CH40"/>
    <mergeCell ref="CG41:CH41"/>
    <mergeCell ref="CF47:CF48"/>
    <mergeCell ref="CG47:CG48"/>
    <mergeCell ref="CH47:CH48"/>
    <mergeCell ref="CI47:CI48"/>
    <mergeCell ref="CL39:CM39"/>
    <mergeCell ref="CK39:CK40"/>
    <mergeCell ref="CN39:CN40"/>
    <mergeCell ref="CO39:CP39"/>
    <mergeCell ref="CK38:CM38"/>
    <mergeCell ref="CQ7:CQ8"/>
    <mergeCell ref="CR7:CR8"/>
    <mergeCell ref="CS7:CS8"/>
    <mergeCell ref="CT7:CT8"/>
    <mergeCell ref="CJ27:CS27"/>
    <mergeCell ref="CJ28:CS28"/>
    <mergeCell ref="CJ29:CS29"/>
    <mergeCell ref="CJ30:CS30"/>
    <mergeCell ref="CJ32:CS32"/>
    <mergeCell ref="CJ33:CS33"/>
    <mergeCell ref="CJ35:CT35"/>
    <mergeCell ref="CJ37:CS37"/>
    <mergeCell ref="CT37:CT40"/>
    <mergeCell ref="CJ38:CJ40"/>
    <mergeCell ref="CN38:CP38"/>
    <mergeCell ref="CQ38:CS39"/>
    <mergeCell ref="CR40:CS40"/>
    <mergeCell ref="CR41:CS41"/>
    <mergeCell ref="CQ47:CQ48"/>
    <mergeCell ref="CR47:CR48"/>
    <mergeCell ref="CS47:CS48"/>
    <mergeCell ref="CT47:CT48"/>
    <mergeCell ref="F53:F62"/>
    <mergeCell ref="V53:AF53"/>
    <mergeCell ref="AG53:DQ53"/>
    <mergeCell ref="G54:G61"/>
    <mergeCell ref="V54:AF54"/>
    <mergeCell ref="AG54:DQ54"/>
    <mergeCell ref="H55:H61"/>
    <mergeCell ref="I55:I60"/>
    <mergeCell ref="P55:P60"/>
    <mergeCell ref="V55:AF55"/>
    <mergeCell ref="AG55:DQ55"/>
    <mergeCell ref="J56:J59"/>
    <mergeCell ref="Q56:Q59"/>
    <mergeCell ref="V56:AF56"/>
    <mergeCell ref="AG56:DQ56"/>
    <mergeCell ref="K57:K58"/>
    <mergeCell ref="AC57:AC58"/>
    <mergeCell ref="AQ57:AQ58"/>
    <mergeCell ref="DR57:DR58"/>
    <mergeCell ref="AD57:AD58"/>
    <mergeCell ref="AE57:AE58"/>
    <mergeCell ref="AF57:AF58"/>
    <mergeCell ref="AN57:AN58"/>
    <mergeCell ref="AO57:AO58"/>
    <mergeCell ref="AP57:AP58"/>
    <mergeCell ref="AY57:AY58"/>
    <mergeCell ref="AZ57:AZ58"/>
    <mergeCell ref="BA57:BA58"/>
    <mergeCell ref="BB57:BB58"/>
    <mergeCell ref="BJ57:BJ58"/>
    <mergeCell ref="BK57:BK58"/>
    <mergeCell ref="BL57:BL58"/>
    <mergeCell ref="BM57:BM58"/>
    <mergeCell ref="BU57:BU58"/>
    <mergeCell ref="BV57:BV58"/>
    <mergeCell ref="BW57:BW58"/>
    <mergeCell ref="BX57:BX58"/>
    <mergeCell ref="CF57:CF58"/>
    <mergeCell ref="CG57:CG58"/>
    <mergeCell ref="CH57:CH58"/>
    <mergeCell ref="CI57:CI58"/>
    <mergeCell ref="CQ57:CQ58"/>
    <mergeCell ref="CR57:CR58"/>
    <mergeCell ref="CS57:CS58"/>
    <mergeCell ref="CT57:CT58"/>
    <mergeCell ref="F63:F72"/>
    <mergeCell ref="V63:AF63"/>
    <mergeCell ref="AG63:DQ63"/>
    <mergeCell ref="G64:G71"/>
    <mergeCell ref="V64:AF64"/>
    <mergeCell ref="AG64:DQ64"/>
    <mergeCell ref="H65:H71"/>
    <mergeCell ref="I65:I70"/>
    <mergeCell ref="P65:P70"/>
    <mergeCell ref="V65:AF65"/>
    <mergeCell ref="AG65:DQ65"/>
    <mergeCell ref="J66:J69"/>
    <mergeCell ref="Q66:Q69"/>
    <mergeCell ref="V66:AF66"/>
    <mergeCell ref="AG66:DQ66"/>
    <mergeCell ref="K67:K68"/>
    <mergeCell ref="AC67:AC68"/>
    <mergeCell ref="AQ67:AQ68"/>
    <mergeCell ref="DR67:DR68"/>
    <mergeCell ref="AD67:AD68"/>
    <mergeCell ref="AE67:AE68"/>
    <mergeCell ref="AF67:AF68"/>
    <mergeCell ref="AN67:AN68"/>
    <mergeCell ref="AO67:AO68"/>
    <mergeCell ref="AP67:AP68"/>
    <mergeCell ref="AY67:AY68"/>
    <mergeCell ref="AZ67:AZ68"/>
    <mergeCell ref="BA67:BA68"/>
    <mergeCell ref="BB67:BB68"/>
    <mergeCell ref="BJ67:BJ68"/>
    <mergeCell ref="BK67:BK68"/>
    <mergeCell ref="BL67:BL68"/>
    <mergeCell ref="BM67:BM68"/>
    <mergeCell ref="BU67:BU68"/>
    <mergeCell ref="BV67:BV68"/>
    <mergeCell ref="BW67:BW68"/>
    <mergeCell ref="BX67:BX68"/>
    <mergeCell ref="CF67:CF68"/>
    <mergeCell ref="CG67:CG68"/>
    <mergeCell ref="CH67:CH68"/>
    <mergeCell ref="CI67:CI68"/>
    <mergeCell ref="CQ67:CQ68"/>
    <mergeCell ref="CR67:CR68"/>
    <mergeCell ref="CS67:CS68"/>
    <mergeCell ref="CT67:CT68"/>
    <mergeCell ref="F73:F82"/>
    <mergeCell ref="V73:AF73"/>
    <mergeCell ref="AG73:DQ73"/>
    <mergeCell ref="G74:G81"/>
    <mergeCell ref="V74:AF74"/>
    <mergeCell ref="AG74:DQ74"/>
    <mergeCell ref="H75:H81"/>
    <mergeCell ref="I75:I80"/>
    <mergeCell ref="P75:P80"/>
    <mergeCell ref="V75:AF75"/>
    <mergeCell ref="AG75:DQ75"/>
    <mergeCell ref="J76:J79"/>
    <mergeCell ref="Q76:Q79"/>
    <mergeCell ref="V76:AF76"/>
    <mergeCell ref="AG76:DQ76"/>
    <mergeCell ref="K77:K78"/>
    <mergeCell ref="AC77:AC78"/>
    <mergeCell ref="AQ77:AQ78"/>
    <mergeCell ref="DR77:DR78"/>
    <mergeCell ref="AD77:AD78"/>
    <mergeCell ref="AE77:AE78"/>
    <mergeCell ref="AF77:AF78"/>
    <mergeCell ref="AN77:AN78"/>
    <mergeCell ref="AO77:AO78"/>
    <mergeCell ref="AP77:AP78"/>
    <mergeCell ref="AY77:AY78"/>
    <mergeCell ref="AZ77:AZ78"/>
    <mergeCell ref="BA77:BA78"/>
    <mergeCell ref="BB77:BB78"/>
    <mergeCell ref="BJ77:BJ78"/>
    <mergeCell ref="BK77:BK78"/>
    <mergeCell ref="BL77:BL78"/>
    <mergeCell ref="BM77:BM78"/>
    <mergeCell ref="BU77:BU78"/>
    <mergeCell ref="BV77:BV78"/>
    <mergeCell ref="BW77:BW78"/>
    <mergeCell ref="BX77:BX78"/>
    <mergeCell ref="CF77:CF78"/>
    <mergeCell ref="CG77:CG78"/>
    <mergeCell ref="CH77:CH78"/>
    <mergeCell ref="CI77:CI78"/>
    <mergeCell ref="CQ77:CQ78"/>
    <mergeCell ref="CR77:CR78"/>
    <mergeCell ref="CS77:CS78"/>
    <mergeCell ref="CT77:CT78"/>
    <mergeCell ref="F83:F92"/>
    <mergeCell ref="V83:AF83"/>
    <mergeCell ref="AG83:DQ83"/>
    <mergeCell ref="G84:G91"/>
    <mergeCell ref="V84:AF84"/>
    <mergeCell ref="AG84:DQ84"/>
    <mergeCell ref="H85:H91"/>
    <mergeCell ref="I85:I90"/>
    <mergeCell ref="P85:P90"/>
    <mergeCell ref="V85:AF85"/>
    <mergeCell ref="AG85:DQ85"/>
    <mergeCell ref="J86:J89"/>
    <mergeCell ref="Q86:Q89"/>
    <mergeCell ref="V86:AF86"/>
    <mergeCell ref="AG86:DQ86"/>
    <mergeCell ref="K87:K88"/>
    <mergeCell ref="AC87:AC88"/>
    <mergeCell ref="AQ87:AQ88"/>
    <mergeCell ref="DR87:DR88"/>
    <mergeCell ref="AD87:AD88"/>
    <mergeCell ref="AE87:AE88"/>
    <mergeCell ref="AF87:AF88"/>
    <mergeCell ref="AN87:AN88"/>
    <mergeCell ref="AO87:AO88"/>
    <mergeCell ref="AP87:AP88"/>
    <mergeCell ref="AY87:AY88"/>
    <mergeCell ref="AZ87:AZ88"/>
    <mergeCell ref="BA87:BA88"/>
    <mergeCell ref="BB87:BB88"/>
    <mergeCell ref="BJ87:BJ88"/>
    <mergeCell ref="BK87:BK88"/>
    <mergeCell ref="BL87:BL88"/>
    <mergeCell ref="BM87:BM88"/>
    <mergeCell ref="BU87:BU88"/>
    <mergeCell ref="BV87:BV88"/>
    <mergeCell ref="BW87:BW88"/>
    <mergeCell ref="BX87:BX88"/>
    <mergeCell ref="CF87:CF88"/>
    <mergeCell ref="CG87:CG88"/>
    <mergeCell ref="CH87:CH88"/>
    <mergeCell ref="CI87:CI88"/>
    <mergeCell ref="CQ87:CQ88"/>
    <mergeCell ref="CR87:CR88"/>
    <mergeCell ref="CS87:CS88"/>
    <mergeCell ref="CT87:CT88"/>
    <mergeCell ref="F93:F102"/>
    <mergeCell ref="V93:AF93"/>
    <mergeCell ref="AG93:DQ93"/>
    <mergeCell ref="G94:G101"/>
    <mergeCell ref="V94:AF94"/>
    <mergeCell ref="AG94:DQ94"/>
    <mergeCell ref="H95:H101"/>
    <mergeCell ref="I95:I100"/>
    <mergeCell ref="P95:P100"/>
    <mergeCell ref="V95:AF95"/>
    <mergeCell ref="AG95:DQ95"/>
    <mergeCell ref="J96:J99"/>
    <mergeCell ref="Q96:Q99"/>
    <mergeCell ref="V96:AF96"/>
    <mergeCell ref="AG96:DQ96"/>
    <mergeCell ref="K97:K98"/>
    <mergeCell ref="AC97:AC98"/>
    <mergeCell ref="AQ97:AQ98"/>
    <mergeCell ref="DR97:DR98"/>
    <mergeCell ref="AD97:AD98"/>
    <mergeCell ref="AE97:AE98"/>
    <mergeCell ref="AF97:AF98"/>
    <mergeCell ref="AN97:AN98"/>
    <mergeCell ref="AO97:AO98"/>
    <mergeCell ref="AP97:AP98"/>
    <mergeCell ref="AY97:AY98"/>
    <mergeCell ref="AZ97:AZ98"/>
    <mergeCell ref="BA97:BA98"/>
    <mergeCell ref="BB97:BB98"/>
    <mergeCell ref="BJ97:BJ98"/>
    <mergeCell ref="BK97:BK98"/>
    <mergeCell ref="BL97:BL98"/>
    <mergeCell ref="BM97:BM98"/>
    <mergeCell ref="BU97:BU98"/>
    <mergeCell ref="BV97:BV98"/>
    <mergeCell ref="BW97:BW98"/>
    <mergeCell ref="BX97:BX98"/>
    <mergeCell ref="CF97:CF98"/>
    <mergeCell ref="CG97:CG98"/>
    <mergeCell ref="CH97:CH98"/>
    <mergeCell ref="CI97:CI98"/>
    <mergeCell ref="CQ97:CQ98"/>
    <mergeCell ref="CR97:CR98"/>
    <mergeCell ref="CS97:CS98"/>
    <mergeCell ref="CT97:CT98"/>
    <mergeCell ref="F103:F112"/>
    <mergeCell ref="V103:AF103"/>
    <mergeCell ref="AG103:DQ103"/>
    <mergeCell ref="G104:G111"/>
    <mergeCell ref="V104:AF104"/>
    <mergeCell ref="AG104:DQ104"/>
    <mergeCell ref="H105:H111"/>
    <mergeCell ref="I105:I110"/>
    <mergeCell ref="P105:P110"/>
    <mergeCell ref="V105:AF105"/>
    <mergeCell ref="AG105:DQ105"/>
    <mergeCell ref="J106:J109"/>
    <mergeCell ref="Q106:Q109"/>
    <mergeCell ref="V106:AF106"/>
    <mergeCell ref="AG106:DQ106"/>
    <mergeCell ref="K107:K108"/>
    <mergeCell ref="AC107:AC108"/>
    <mergeCell ref="AQ107:AQ108"/>
    <mergeCell ref="DR107:DR108"/>
    <mergeCell ref="AD107:AD108"/>
    <mergeCell ref="AE107:AE108"/>
    <mergeCell ref="AF107:AF108"/>
    <mergeCell ref="AN107:AN108"/>
    <mergeCell ref="AO107:AO108"/>
    <mergeCell ref="AP107:AP108"/>
    <mergeCell ref="AY107:AY108"/>
    <mergeCell ref="AZ107:AZ108"/>
    <mergeCell ref="BA107:BA108"/>
    <mergeCell ref="BB107:BB108"/>
    <mergeCell ref="BJ107:BJ108"/>
    <mergeCell ref="BK107:BK108"/>
    <mergeCell ref="BL107:BL108"/>
    <mergeCell ref="BM107:BM108"/>
    <mergeCell ref="BU107:BU108"/>
    <mergeCell ref="BV107:BV108"/>
    <mergeCell ref="BW107:BW108"/>
    <mergeCell ref="BX107:BX108"/>
    <mergeCell ref="CF107:CF108"/>
    <mergeCell ref="CG107:CG108"/>
    <mergeCell ref="CH107:CH108"/>
    <mergeCell ref="CI107:CI108"/>
    <mergeCell ref="CQ107:CQ108"/>
    <mergeCell ref="CR107:CR108"/>
    <mergeCell ref="CS107:CS108"/>
    <mergeCell ref="CT107:CT108"/>
    <mergeCell ref="F113:F122"/>
    <mergeCell ref="V113:AF113"/>
    <mergeCell ref="AG113:DQ113"/>
    <mergeCell ref="G114:G121"/>
    <mergeCell ref="V114:AF114"/>
    <mergeCell ref="AG114:DQ114"/>
    <mergeCell ref="H115:H121"/>
    <mergeCell ref="I115:I120"/>
    <mergeCell ref="P115:P120"/>
    <mergeCell ref="V115:AF115"/>
    <mergeCell ref="AG115:DQ115"/>
    <mergeCell ref="J116:J119"/>
    <mergeCell ref="Q116:Q119"/>
    <mergeCell ref="V116:AF116"/>
    <mergeCell ref="AG116:DQ116"/>
    <mergeCell ref="K117:K118"/>
    <mergeCell ref="AC117:AC118"/>
    <mergeCell ref="AQ117:AQ118"/>
    <mergeCell ref="DR117:DR118"/>
    <mergeCell ref="AD117:AD118"/>
    <mergeCell ref="AE117:AE118"/>
    <mergeCell ref="AF117:AF118"/>
    <mergeCell ref="AN117:AN118"/>
    <mergeCell ref="AO117:AO118"/>
    <mergeCell ref="AP117:AP118"/>
    <mergeCell ref="AY117:AY118"/>
    <mergeCell ref="AZ117:AZ118"/>
    <mergeCell ref="BA117:BA118"/>
    <mergeCell ref="BB117:BB118"/>
    <mergeCell ref="BJ117:BJ118"/>
    <mergeCell ref="BK117:BK118"/>
    <mergeCell ref="BL117:BL118"/>
    <mergeCell ref="BM117:BM118"/>
    <mergeCell ref="BU117:BU118"/>
    <mergeCell ref="BV117:BV118"/>
    <mergeCell ref="BW117:BW118"/>
    <mergeCell ref="BX117:BX118"/>
    <mergeCell ref="CF117:CF118"/>
    <mergeCell ref="CG117:CG118"/>
    <mergeCell ref="CH117:CH118"/>
    <mergeCell ref="CI117:CI118"/>
    <mergeCell ref="CQ117:CQ118"/>
    <mergeCell ref="CR117:CR118"/>
    <mergeCell ref="CS117:CS118"/>
    <mergeCell ref="CT117:CT118"/>
    <mergeCell ref="F123:F132"/>
    <mergeCell ref="V123:AF123"/>
    <mergeCell ref="AG123:DQ123"/>
    <mergeCell ref="G124:G131"/>
    <mergeCell ref="V124:AF124"/>
    <mergeCell ref="AG124:DQ124"/>
    <mergeCell ref="H125:H131"/>
    <mergeCell ref="I125:I130"/>
    <mergeCell ref="P125:P130"/>
    <mergeCell ref="V125:AF125"/>
    <mergeCell ref="AG125:DQ125"/>
    <mergeCell ref="J126:J129"/>
    <mergeCell ref="Q126:Q129"/>
    <mergeCell ref="V126:AF126"/>
    <mergeCell ref="AG126:DQ126"/>
    <mergeCell ref="K127:K128"/>
    <mergeCell ref="AC127:AC128"/>
    <mergeCell ref="AQ127:AQ128"/>
    <mergeCell ref="DR127:DR128"/>
    <mergeCell ref="AD127:AD128"/>
    <mergeCell ref="AE127:AE128"/>
    <mergeCell ref="AF127:AF128"/>
    <mergeCell ref="AN127:AN128"/>
    <mergeCell ref="AO127:AO128"/>
    <mergeCell ref="AP127:AP128"/>
    <mergeCell ref="AY127:AY128"/>
    <mergeCell ref="AZ127:AZ128"/>
    <mergeCell ref="BA127:BA128"/>
    <mergeCell ref="BB127:BB128"/>
    <mergeCell ref="BJ127:BJ128"/>
    <mergeCell ref="BK127:BK128"/>
    <mergeCell ref="BL127:BL128"/>
    <mergeCell ref="BM127:BM128"/>
    <mergeCell ref="BU127:BU128"/>
    <mergeCell ref="BV127:BV128"/>
    <mergeCell ref="BW127:BW128"/>
    <mergeCell ref="BX127:BX128"/>
    <mergeCell ref="CF127:CF128"/>
    <mergeCell ref="CG127:CG128"/>
    <mergeCell ref="CH127:CH128"/>
    <mergeCell ref="CI127:CI128"/>
    <mergeCell ref="CQ127:CQ128"/>
    <mergeCell ref="CR127:CR128"/>
    <mergeCell ref="CS127:CS128"/>
    <mergeCell ref="CT127:CT128"/>
    <mergeCell ref="F133:F142"/>
    <mergeCell ref="V133:AF133"/>
    <mergeCell ref="AG133:DQ133"/>
    <mergeCell ref="G134:G141"/>
    <mergeCell ref="V134:AF134"/>
    <mergeCell ref="AG134:DQ134"/>
    <mergeCell ref="H135:H141"/>
    <mergeCell ref="I135:I140"/>
    <mergeCell ref="P135:P140"/>
    <mergeCell ref="V135:AF135"/>
    <mergeCell ref="AG135:DQ135"/>
    <mergeCell ref="J136:J139"/>
    <mergeCell ref="Q136:Q139"/>
    <mergeCell ref="V136:AF136"/>
    <mergeCell ref="AG136:DQ136"/>
    <mergeCell ref="K137:K138"/>
    <mergeCell ref="AC137:AC138"/>
    <mergeCell ref="AQ137:AQ138"/>
    <mergeCell ref="DR137:DR138"/>
    <mergeCell ref="AD137:AD138"/>
    <mergeCell ref="AE137:AE138"/>
    <mergeCell ref="AF137:AF138"/>
    <mergeCell ref="AN137:AN138"/>
    <mergeCell ref="AO137:AO138"/>
    <mergeCell ref="AP137:AP138"/>
    <mergeCell ref="AY137:AY138"/>
    <mergeCell ref="AZ137:AZ138"/>
    <mergeCell ref="BA137:BA138"/>
    <mergeCell ref="BB137:BB138"/>
    <mergeCell ref="BJ137:BJ138"/>
    <mergeCell ref="BK137:BK138"/>
    <mergeCell ref="BL137:BL138"/>
    <mergeCell ref="BM137:BM138"/>
    <mergeCell ref="BU137:BU138"/>
    <mergeCell ref="BV137:BV138"/>
    <mergeCell ref="BW137:BW138"/>
    <mergeCell ref="BX137:BX138"/>
    <mergeCell ref="CF137:CF138"/>
    <mergeCell ref="CG137:CG138"/>
    <mergeCell ref="CH137:CH138"/>
    <mergeCell ref="CI137:CI138"/>
    <mergeCell ref="CQ137:CQ138"/>
    <mergeCell ref="CR137:CR138"/>
    <mergeCell ref="CS137:CS138"/>
    <mergeCell ref="CT137:CT138"/>
    <mergeCell ref="F143:F152"/>
    <mergeCell ref="V143:AF143"/>
    <mergeCell ref="AG143:DQ143"/>
    <mergeCell ref="G144:G151"/>
    <mergeCell ref="V144:AF144"/>
    <mergeCell ref="AG144:DQ144"/>
    <mergeCell ref="H145:H151"/>
    <mergeCell ref="I145:I150"/>
    <mergeCell ref="P145:P150"/>
    <mergeCell ref="V145:AF145"/>
    <mergeCell ref="AG145:DQ145"/>
    <mergeCell ref="J146:J149"/>
    <mergeCell ref="Q146:Q149"/>
    <mergeCell ref="V146:AF146"/>
    <mergeCell ref="AG146:DQ146"/>
    <mergeCell ref="K147:K148"/>
    <mergeCell ref="AC147:AC148"/>
    <mergeCell ref="AQ147:AQ148"/>
    <mergeCell ref="DR147:DR148"/>
    <mergeCell ref="AD147:AD148"/>
    <mergeCell ref="AE147:AE148"/>
    <mergeCell ref="AF147:AF148"/>
    <mergeCell ref="AN147:AN148"/>
    <mergeCell ref="AO147:AO148"/>
    <mergeCell ref="AP147:AP148"/>
    <mergeCell ref="AY147:AY148"/>
    <mergeCell ref="AZ147:AZ148"/>
    <mergeCell ref="BA147:BA148"/>
    <mergeCell ref="BB147:BB148"/>
    <mergeCell ref="BJ147:BJ148"/>
    <mergeCell ref="BK147:BK148"/>
    <mergeCell ref="BL147:BL148"/>
    <mergeCell ref="BM147:BM148"/>
    <mergeCell ref="BU147:BU148"/>
    <mergeCell ref="BV147:BV148"/>
    <mergeCell ref="BW147:BW148"/>
    <mergeCell ref="BX147:BX148"/>
    <mergeCell ref="CF147:CF148"/>
    <mergeCell ref="CG147:CG148"/>
    <mergeCell ref="CH147:CH148"/>
    <mergeCell ref="CI147:CI148"/>
    <mergeCell ref="CQ147:CQ148"/>
    <mergeCell ref="CR147:CR148"/>
    <mergeCell ref="CS147:CS148"/>
    <mergeCell ref="CT147:CT148"/>
    <mergeCell ref="F153:F162"/>
    <mergeCell ref="V153:AF153"/>
    <mergeCell ref="AG153:DQ153"/>
    <mergeCell ref="G154:G161"/>
    <mergeCell ref="V154:AF154"/>
    <mergeCell ref="AG154:DQ154"/>
    <mergeCell ref="H155:H161"/>
    <mergeCell ref="I155:I160"/>
    <mergeCell ref="P155:P160"/>
    <mergeCell ref="V155:AF155"/>
    <mergeCell ref="AG155:DQ155"/>
    <mergeCell ref="J156:J159"/>
    <mergeCell ref="Q156:Q159"/>
    <mergeCell ref="V156:AF156"/>
    <mergeCell ref="AG156:DQ156"/>
    <mergeCell ref="K157:K158"/>
    <mergeCell ref="AC157:AC158"/>
    <mergeCell ref="AQ157:AQ158"/>
    <mergeCell ref="DR157:DR158"/>
    <mergeCell ref="AD157:AD158"/>
    <mergeCell ref="AE157:AE158"/>
    <mergeCell ref="AF157:AF158"/>
    <mergeCell ref="AN157:AN158"/>
    <mergeCell ref="AO157:AO158"/>
    <mergeCell ref="AP157:AP158"/>
    <mergeCell ref="AY157:AY158"/>
    <mergeCell ref="AZ157:AZ158"/>
    <mergeCell ref="BA157:BA158"/>
    <mergeCell ref="BB157:BB158"/>
    <mergeCell ref="BJ157:BJ158"/>
    <mergeCell ref="BK157:BK158"/>
    <mergeCell ref="BL157:BL158"/>
    <mergeCell ref="BM157:BM158"/>
    <mergeCell ref="BU157:BU158"/>
    <mergeCell ref="BV157:BV158"/>
    <mergeCell ref="BW157:BW158"/>
    <mergeCell ref="BX157:BX158"/>
    <mergeCell ref="CF157:CF158"/>
    <mergeCell ref="CG157:CG158"/>
    <mergeCell ref="CH157:CH158"/>
    <mergeCell ref="CI157:CI158"/>
    <mergeCell ref="CQ157:CQ158"/>
    <mergeCell ref="CR157:CR158"/>
    <mergeCell ref="CS157:CS158"/>
    <mergeCell ref="CT157:CT158"/>
    <mergeCell ref="F163:F172"/>
    <mergeCell ref="V163:AF163"/>
    <mergeCell ref="AG163:DQ163"/>
    <mergeCell ref="G164:G171"/>
    <mergeCell ref="V164:AF164"/>
    <mergeCell ref="AG164:DQ164"/>
    <mergeCell ref="H165:H171"/>
    <mergeCell ref="I165:I170"/>
    <mergeCell ref="P165:P170"/>
    <mergeCell ref="V165:AF165"/>
    <mergeCell ref="AG165:DQ165"/>
    <mergeCell ref="J166:J169"/>
    <mergeCell ref="Q166:Q169"/>
    <mergeCell ref="V166:AF166"/>
    <mergeCell ref="AG166:DQ166"/>
    <mergeCell ref="K167:K168"/>
    <mergeCell ref="AC167:AC168"/>
    <mergeCell ref="AQ167:AQ168"/>
    <mergeCell ref="DR167:DR168"/>
    <mergeCell ref="AD167:AD168"/>
    <mergeCell ref="AE167:AE168"/>
    <mergeCell ref="AF167:AF168"/>
    <mergeCell ref="AN167:AN168"/>
    <mergeCell ref="AO167:AO168"/>
    <mergeCell ref="AP167:AP168"/>
    <mergeCell ref="AY167:AY168"/>
    <mergeCell ref="AZ167:AZ168"/>
    <mergeCell ref="BA167:BA168"/>
    <mergeCell ref="BB167:BB168"/>
    <mergeCell ref="BJ167:BJ168"/>
    <mergeCell ref="BK167:BK168"/>
    <mergeCell ref="BL167:BL168"/>
    <mergeCell ref="BM167:BM168"/>
    <mergeCell ref="BU167:BU168"/>
    <mergeCell ref="BV167:BV168"/>
    <mergeCell ref="BW167:BW168"/>
    <mergeCell ref="BX167:BX168"/>
    <mergeCell ref="CF167:CF168"/>
    <mergeCell ref="CG167:CG168"/>
    <mergeCell ref="CH167:CH168"/>
    <mergeCell ref="CI167:CI168"/>
    <mergeCell ref="CQ167:CQ168"/>
    <mergeCell ref="CR167:CR168"/>
    <mergeCell ref="CS167:CS168"/>
    <mergeCell ref="CT167:CT168"/>
    <mergeCell ref="F173:F182"/>
    <mergeCell ref="V173:AF173"/>
    <mergeCell ref="AG173:DQ173"/>
    <mergeCell ref="G174:G181"/>
    <mergeCell ref="V174:AF174"/>
    <mergeCell ref="AG174:DQ174"/>
    <mergeCell ref="H175:H181"/>
    <mergeCell ref="I175:I180"/>
    <mergeCell ref="P175:P180"/>
    <mergeCell ref="V175:AF175"/>
    <mergeCell ref="AG175:DQ175"/>
    <mergeCell ref="J176:J179"/>
    <mergeCell ref="Q176:Q179"/>
    <mergeCell ref="V176:AF176"/>
    <mergeCell ref="AG176:DQ176"/>
    <mergeCell ref="K177:K178"/>
    <mergeCell ref="AC177:AC178"/>
    <mergeCell ref="AQ177:AQ178"/>
    <mergeCell ref="DR177:DR178"/>
    <mergeCell ref="AD177:AD178"/>
    <mergeCell ref="AE177:AE178"/>
    <mergeCell ref="AF177:AF178"/>
    <mergeCell ref="AN177:AN178"/>
    <mergeCell ref="AO177:AO178"/>
    <mergeCell ref="AP177:AP178"/>
    <mergeCell ref="AY177:AY178"/>
    <mergeCell ref="AZ177:AZ178"/>
    <mergeCell ref="BA177:BA178"/>
    <mergeCell ref="BB177:BB178"/>
    <mergeCell ref="BJ177:BJ178"/>
    <mergeCell ref="BK177:BK178"/>
    <mergeCell ref="BL177:BL178"/>
    <mergeCell ref="BM177:BM178"/>
    <mergeCell ref="BU177:BU178"/>
    <mergeCell ref="BV177:BV178"/>
    <mergeCell ref="BW177:BW178"/>
    <mergeCell ref="BX177:BX178"/>
    <mergeCell ref="CF177:CF178"/>
    <mergeCell ref="CG177:CG178"/>
    <mergeCell ref="CH177:CH178"/>
    <mergeCell ref="CI177:CI178"/>
    <mergeCell ref="CQ177:CQ178"/>
    <mergeCell ref="CR177:CR178"/>
    <mergeCell ref="CS177:CS178"/>
    <mergeCell ref="CT177:CT178"/>
    <mergeCell ref="CW39:CX39"/>
    <mergeCell ref="CV39:CV40"/>
    <mergeCell ref="CY39:CY40"/>
    <mergeCell ref="CZ39:DA39"/>
    <mergeCell ref="CV38:CX38"/>
    <mergeCell ref="DB7:DB8"/>
    <mergeCell ref="DC7:DC8"/>
    <mergeCell ref="DD7:DD8"/>
    <mergeCell ref="DE7:DE8"/>
    <mergeCell ref="CU27:DD27"/>
    <mergeCell ref="CU28:DD28"/>
    <mergeCell ref="CU29:DD29"/>
    <mergeCell ref="CU30:DD30"/>
    <mergeCell ref="CU32:DD32"/>
    <mergeCell ref="CU33:DD33"/>
    <mergeCell ref="CU35:DE35"/>
    <mergeCell ref="CU37:DD37"/>
    <mergeCell ref="DE37:DE40"/>
    <mergeCell ref="CU38:CU40"/>
    <mergeCell ref="CY38:DA38"/>
    <mergeCell ref="DB38:DD39"/>
    <mergeCell ref="DC40:DD40"/>
    <mergeCell ref="DC41:DD41"/>
    <mergeCell ref="DB47:DB48"/>
    <mergeCell ref="DC47:DC48"/>
    <mergeCell ref="DD47:DD48"/>
    <mergeCell ref="DE47:DE48"/>
    <mergeCell ref="DB57:DB58"/>
    <mergeCell ref="DC57:DC58"/>
    <mergeCell ref="DD57:DD58"/>
    <mergeCell ref="DE57:DE58"/>
    <mergeCell ref="DB67:DB68"/>
    <mergeCell ref="DC67:DC68"/>
    <mergeCell ref="DD67:DD68"/>
    <mergeCell ref="DE67:DE68"/>
    <mergeCell ref="DB77:DB78"/>
    <mergeCell ref="DC77:DC78"/>
    <mergeCell ref="DD77:DD78"/>
    <mergeCell ref="DE77:DE78"/>
    <mergeCell ref="DB87:DB88"/>
    <mergeCell ref="DC87:DC88"/>
    <mergeCell ref="DD87:DD88"/>
    <mergeCell ref="DE87:DE88"/>
    <mergeCell ref="DB97:DB98"/>
    <mergeCell ref="DC97:DC98"/>
    <mergeCell ref="DD97:DD98"/>
    <mergeCell ref="DE97:DE98"/>
    <mergeCell ref="DB107:DB108"/>
    <mergeCell ref="DC107:DC108"/>
    <mergeCell ref="DD107:DD108"/>
    <mergeCell ref="DE107:DE108"/>
    <mergeCell ref="DB117:DB118"/>
    <mergeCell ref="DC117:DC118"/>
    <mergeCell ref="DD117:DD118"/>
    <mergeCell ref="DE117:DE118"/>
    <mergeCell ref="DB127:DB128"/>
    <mergeCell ref="DC127:DC128"/>
    <mergeCell ref="DD127:DD128"/>
    <mergeCell ref="DE127:DE128"/>
    <mergeCell ref="DB137:DB138"/>
    <mergeCell ref="DC137:DC138"/>
    <mergeCell ref="DD137:DD138"/>
    <mergeCell ref="DE137:DE138"/>
    <mergeCell ref="DB147:DB148"/>
    <mergeCell ref="DC147:DC148"/>
    <mergeCell ref="DD147:DD148"/>
    <mergeCell ref="DE147:DE148"/>
    <mergeCell ref="DB157:DB158"/>
    <mergeCell ref="DC157:DC158"/>
    <mergeCell ref="DD157:DD158"/>
    <mergeCell ref="DE157:DE158"/>
    <mergeCell ref="DB167:DB168"/>
    <mergeCell ref="DC167:DC168"/>
    <mergeCell ref="DD167:DD168"/>
    <mergeCell ref="DE167:DE168"/>
    <mergeCell ref="DB177:DB178"/>
    <mergeCell ref="DC177:DC178"/>
    <mergeCell ref="DD177:DD178"/>
    <mergeCell ref="DE177:DE178"/>
    <mergeCell ref="DH39:DI39"/>
    <mergeCell ref="DG39:DG40"/>
    <mergeCell ref="DJ39:DJ40"/>
    <mergeCell ref="DK39:DL39"/>
    <mergeCell ref="DG38:DI38"/>
    <mergeCell ref="DM7:DM8"/>
    <mergeCell ref="DN7:DN8"/>
    <mergeCell ref="DO7:DO8"/>
    <mergeCell ref="DP7:DP8"/>
    <mergeCell ref="DF27:DO27"/>
    <mergeCell ref="DF28:DO28"/>
    <mergeCell ref="DF29:DO29"/>
    <mergeCell ref="DF30:DO30"/>
    <mergeCell ref="DF32:DO32"/>
    <mergeCell ref="DF33:DO33"/>
    <mergeCell ref="DF35:DP35"/>
    <mergeCell ref="DF37:DO37"/>
    <mergeCell ref="DP37:DP40"/>
    <mergeCell ref="DF38:DF40"/>
    <mergeCell ref="DJ38:DL38"/>
    <mergeCell ref="DM38:DO39"/>
    <mergeCell ref="DN40:DO40"/>
    <mergeCell ref="DN41:DO41"/>
    <mergeCell ref="DM47:DM48"/>
    <mergeCell ref="DN47:DN48"/>
    <mergeCell ref="DO47:DO48"/>
    <mergeCell ref="DP47:DP48"/>
    <mergeCell ref="DM57:DM58"/>
    <mergeCell ref="DN57:DN58"/>
    <mergeCell ref="DO57:DO58"/>
    <mergeCell ref="DP57:DP58"/>
    <mergeCell ref="DM67:DM68"/>
    <mergeCell ref="DN67:DN68"/>
    <mergeCell ref="DO67:DO68"/>
    <mergeCell ref="DP67:DP68"/>
    <mergeCell ref="DM77:DM78"/>
    <mergeCell ref="DN77:DN78"/>
    <mergeCell ref="DO77:DO78"/>
    <mergeCell ref="DP77:DP78"/>
    <mergeCell ref="DM87:DM88"/>
    <mergeCell ref="DN87:DN88"/>
    <mergeCell ref="DO87:DO88"/>
    <mergeCell ref="DP87:DP88"/>
    <mergeCell ref="DM97:DM98"/>
    <mergeCell ref="DN97:DN98"/>
    <mergeCell ref="DO97:DO98"/>
    <mergeCell ref="DP97:DP98"/>
    <mergeCell ref="DM107:DM108"/>
    <mergeCell ref="DN107:DN108"/>
    <mergeCell ref="DO107:DO108"/>
    <mergeCell ref="DP107:DP108"/>
    <mergeCell ref="DM117:DM118"/>
    <mergeCell ref="DN117:DN118"/>
    <mergeCell ref="DO117:DO118"/>
    <mergeCell ref="DP117:DP118"/>
    <mergeCell ref="DM127:DM128"/>
    <mergeCell ref="DN127:DN128"/>
    <mergeCell ref="DO127:DO128"/>
    <mergeCell ref="DP127:DP128"/>
    <mergeCell ref="DM137:DM138"/>
    <mergeCell ref="DN137:DN138"/>
    <mergeCell ref="DO137:DO138"/>
    <mergeCell ref="DP137:DP138"/>
    <mergeCell ref="DM147:DM148"/>
    <mergeCell ref="DN147:DN148"/>
    <mergeCell ref="DO147:DO148"/>
    <mergeCell ref="DP147:DP148"/>
    <mergeCell ref="DM157:DM158"/>
    <mergeCell ref="DN157:DN158"/>
    <mergeCell ref="DO157:DO158"/>
    <mergeCell ref="DP157:DP158"/>
    <mergeCell ref="DM167:DM168"/>
    <mergeCell ref="DN167:DN168"/>
    <mergeCell ref="DO167:DO168"/>
    <mergeCell ref="DP167:DP168"/>
    <mergeCell ref="DM177:DM178"/>
    <mergeCell ref="DN177:DN178"/>
    <mergeCell ref="DO177:DO178"/>
    <mergeCell ref="DP177:DP178"/>
  </mergeCells>
  <dataValidations count="7">
    <dataValidation allowBlank="1" showInputMessage="1" showErrorMessage="1" prompt="Для выбора выполните двойной щелчок левой клавиши мыши по соответствующей ячейке." sqref="AD65709 AD131245 AD196781 AD262317 AD327853 AD393389 AD458925 AD524461 AD589997 AD655533 AD721069 AD786605 AD852141 AD917677 AD983213 AF131245 AF458925 AF196781 AF262317 AF327853 AF393389 AF524461 AF589997 AF655533 AF721069 AF786605 AF852141 AF917677 AF983213 AF65709 AO65709 AO131245 AO196781 AO262317 AO327853 AO393389 AO458925 AO524461 AO589997 AO655533 AO721069 AO786605 AO852141 AO917677 AO983213 AQ524461:DP524461 AQ196781:DP196781 AQ589997:DP589997 AQ655533:DP655533 AQ15 AQ721069:DP721069 AQ786605:DP786605 AQ852141:DP852141 AQ917677:DP917677 AQ983213:DP983213 AQ65709:DP65709 AQ131245:DP131245 AQ458925:DP458925 AQ262317:DP262317 AQ7 AZ7 BB7 BK7 BM7 BV7 BX7 CG7 CI7 CR7 CT7 DC7 DE7 DN7 DP7 AO47 AQ327853:DP327853 AO15 AO7 AD7 AF7 AQ393389:DP393389 AQ47 AZ47 BB47 BK47 BM47 BV47 BX47 CG47 CI47 CR47 CT47 DC47 DE47 DN47 DP47 AD47 AF47 AD57 AF57 AO57 AQ57 AZ57 BB57 BK57 BM57 BV57 BX57 CG57 CI57 CR57 CT57 DC57 DE57 DN57 DP57 AD67 AF67 AO67 AQ67 AZ67 BB67 BK67 BM67 BV67 BX67 CG67 CI67 CR67 CT67 DC67 DE67 DN67 DP67 AD77 AF77 AO77 AQ77 AZ77 BB77 BK77 BM77 BV77 BX77 CG77 CI77 CR77 CT77 DC77 DE77 DN77 DP77 AD87 AF87 AO87 AQ87 AZ87 BB87 BK87 BM87 BV87 BX87 CG87 CI87 CR87 CT87 DC87 DE87 DN87 DP87 AD97 AF97 AO97 AQ97 AZ97 BB97 BK97 BM97 BV97 BX97 CG97 CI97 CR97 CT97 DC97 DE97 DN97 DP97 AD107 AF107 AO107 AQ107 AZ107 BB107 BK107 BM107 BV107 BX107 CG107 CI107 CR107 CT107 DC107 DE107 DN107 DP107 AD117 AF117 AO117 AQ117 AZ117 BB117 BK117 BM117 BV117 BX117 CG117 CI117 CR117 CT117 DC117 DE117 DN117 DP117 AD127 AF127 AO127 AQ127 AZ127 BB127 BK127 BM127 BV127 BX127 CG127 CI127 CR127 CT127 DC127 DE127 DN127 DP127 AD137 AF137 AO137 AQ137 AZ137 BB137 BK137 BM137 BV137 BX137 CG137 CI137 CR137 CT137 DC137 DE137 DN137 DP137 AD147 AF147 AO147 AQ147 AZ147 BB147 BK147 BM147 BV147 BX147 CG147 CI147 CR147 CT147 DC147 DE147 DN147 DP147 AD157 AF157 AO157 AQ157 AZ157 BB157 BK157 BM157 BV157 BX157 CG157 CI157 CR157 CT157 DC157 DE157 DN157 DP157 AD167 AF167 AO167 AQ167 AZ167 BB167 BK167 BM167 BV167 BX167 CG167 CI167 CR167 CT167 DC167 DE167 DN167 DP167 AD177 AF177 AO177 AQ177 AZ177 BB177 BK177 BM177 BV177 BX177 CG177 CI177 CR177 CT177 DC177 DE177 DN177 DP17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709 AC131245 AC196781 AC262317 AC327853 AC393389 AC458925 AC524461 AC589997 AC655533 AC721069 AC786605 AC852141 AC917677 AC983213 AE65709 AE131245 AE196781 AE262317 AE327853 AE393389 AE458925 AE524461 AE589997 AE655533 AE721069 AE786605 AE852141 AE917677 AE983213 AN15 AN65709 AN131245 AN196781 AN262317 AN327853 AN393389 AN458925 AN524461 AN589997 AN655533 AN721069 AN786605 AN852141 AN917677 AN983213 AP65709 AP131245 AP196781 AP262317 AP327853 AP393389 AP458925 AP524461 AP589997 AP655533 AP721069 AP786605 AP852141 AP917677 AP983213 AP47 AN47 AP15 AP7 AN7 AC7 AE7 AC47 AE47 AY7 BA7 AY47 BA47 BJ7 BL7 BJ47 BL47 BU7 BW7 BU47 BW47 CF7 CH7 CF47 CH47 CQ7 CS7 CQ47 CS47 AC57 AE57 AN57 AP57 AY57 BA57 BJ57 BL57 BU57 BW57 CF57 CH57 CQ57 CS57 AC67 AE67 AN67 AP67 AY67 BA67 BJ67 BL67 BU67 BW67 CF67 CH67 CQ67 CS67 AC77 AE77 AN77 AP77 AY77 BA77 BJ77 BL77 BU77 BW77 CF77 CH77 CQ77 CS77 AC87 AE87 AN87 AP87 AY87 BA87 BJ87 BL87 BU87 BW87 CF87 CH87 CQ87 CS87 AC97 AE97 AN97 AP97 AY97 BA97 BJ97 BL97 BU97 BW97 CF97 CH97 CQ97 CS97 AC107 AE107 AN107 AP107 AY107 BA107 BJ107 BL107 BU107 BW107 CF107 CH107 CQ107 CS107 AC117 AE117 AN117 AP117 AY117 BA117 BJ117 BL117 BU117 BW117 CF117 CH117 CQ117 CS117 AC127 AE127 AN127 AP127 AY127 BA127 BJ127 BL127 BU127 BW127 CF127 CH127 CQ127 CS127 AC137 AE137 AN137 AP137 AY137 BA137 BJ137 BL137 BU137 BW137 CF137 CH137 CQ137 CS137 AC147 AE147 AN147 AP147 AY147 BA147 BJ147 BL147 BU147 BW147 CF147 CH147 CQ147 CS147 AC157 AE157 AN157 AP157 AY157 BA157 BJ157 BL157 BU157 BW157 CF157 CH157 CQ157 CS157 AC167 AE167 AN167 AP167 AY167 BA167 BJ167 BL167 BU167 BW167 CF167 CH167 CQ167 CS167 AC177 AE177 AN177 AP177 AY177 BA177 BJ177 BL177 BU177 BW177 CF177 CH177 CQ177 CS177 DB7 DD7 DB47 DD47 DB57 DD57 DB67 DD67 DB77 DD77 DB87 DD87 DB97 DD97 DB107 DD107 DB117 DD117 DB127 DD127 DB137 DD137 DB147 DD147 DB157 DD157 DB167 DD167 DB177 DD177 DM7 DO7 DM47 DO47 DM57 DO57 DM67 DO67 DM77 DO77 DM87 DO87 DM97 DO97 DM107 DO107 DM117 DO117 DM127 DO127 DM137 DO137 DM147 DO147 DM157 DO157 DM167 DO167 DM177 DO177"/>
    <dataValidation type="list" allowBlank="1" showInputMessage="1" showErrorMessage="1" errorTitle="Ошибка" error="Выберите значение из списка" sqref="T65709 T131245 T196781 T262317 T327853 T393389 T458925 T524461 T589997 T655533 T721069 T786605 T852141 T917677 T983213">
      <formula1>kind_of_heat_transfer</formula1>
    </dataValidation>
    <dataValidation type="textLength" operator="lessThanOrEqual" allowBlank="1" showInputMessage="1" showErrorMessage="1" errorTitle="Ошибка" error="Допускается ввод не более 900 символов!" sqref="DR65703:DR65710 DR131239:DR131246 DR196775:DR196782 DR262311:DR262318 DR327847:DR327854 DR393383:DR393390 DR458919:DR458926 DR524455:DR524462 DR589991:DR589998 DR655527:DR655534 DR721063:DR721070 DR786599:DR786606 DR852135:DR852142 DR917671:DR917678 DR983207:DR983214 T47 T7 AG45:AQ45 DQ45 AG5:AQ5 DQ5 AG55 AH55 AI55 AJ55 AK55 AL55 AM55 AN55 AO55 AP55 AQ55 DQ55 T57 AG65 AH65 AI65 AJ65 AK65 AL65 AM65 AN65 AO65 AP65 AQ65 DQ65 T67 AG75 AH75 AI75 AJ75 AK75 AL75 AM75 AN75 AO75 AP75 AQ75 DQ75 T77 AG85 AH85 AI85 AJ85 AK85 AL85 AM85 AN85 AO85 AP85 AQ85 DQ85 T87 AG95 AH95 AI95 AJ95 AK95 AL95 AM95 AN95 AO95 AP95 AQ95 DQ95 T97 AG105 AH105 AI105 AJ105 AK105 AL105 AM105 AN105 AO105 AP105 AQ105 DQ105 T107 AG115 AH115 AI115 AJ115 AK115 AL115 AM115 AN115 AO115 AP115 AQ115 DQ115 T117 AG125 AH125 AI125 AJ125 AK125 AL125 AM125 AN125 AO125 AP125 AQ125 DQ125 T127 AG135 AH135 AI135 AJ135 AK135 AL135 AM135 AN135 AO135 AP135 AQ135 DQ135 T137 AG145 AH145 AI145 AJ145 AK145 AL145 AM145 AN145 AO145 AP145 AQ145 DQ145 T147 AG155 AH155 AI155 AJ155 AK155 AL155 AM155 AN155 AO155 AP155 AQ155 DQ155 T157 AG165 AH165 AI165 AJ165 AK165 AL165 AM165 AN165 AO165 AP165 AQ165 DQ165 T167 AG175 AH175 AI175 AJ175 AK175 AL175 AM175 AN175 AO175 AP175 AQ175 DQ175 T177">
      <formula1>900</formula1>
    </dataValidation>
    <dataValidation type="list" allowBlank="1" showInputMessage="1" showErrorMessage="1" errorTitle="Ошибка" error="Выберите значение из списка" sqref="AG917675:AL917675 AG852139:AL852139 AG786603:AL786603 AG721067:AL721067 AG655531:AL655531 AG589995:AL589995 AG524459:AL524459 AG458923:AL458923 AG393387:AL393387 AG327851:AL327851 AG262315:AL262315 AG196779:AL196779 AG131243:AL131243 AG65707:AL65707 AG983211:AL983211 V983211:AB983211 V65707:AB65707 V131243:AB131243 V196779:AB196779 V262315:AB262315 V327851:AB327851 V393387:AB393387 V458923:AB458923 V524459:AB524459 V589995:AB589995 V655531:AB655531 V721067:AB721067 V786603:AB786603 V852139:AB852139 V917675:AB917675">
      <formula1>kind_of_scheme_in</formula1>
    </dataValidation>
    <dataValidation type="list" allowBlank="1" showInputMessage="1" errorTitle="Ошибка" error="Выберите значение из списка" prompt="Выберите значение из списка" sqref="V983212:DQ983212 V65708:DQ65708 V131244:DQ131244 V196780:DQ196780 V262316:DQ262316 V327852:DQ327852 V393388:DQ393388 V458924:DQ458924 V524460:DQ524460 V589996:DQ589996 V655532:DQ655532 V721068:DQ721068 V786604:DQ786604 V852140:DQ852140 V917676:DQ917676">
      <formula1>kind_of_cons</formula1>
    </dataValidation>
    <dataValidation allowBlank="1" sqref="S131247:DR131253 S196783:DR196789 S262319:DR262325 S327855:DR327861 S393391:DR393397 S458927:DR458933 S524463:DR524469 S589999:DR590005 S655535:DR655541 S721071:DR721077 S786607:DR786613 S852143:DR852149 S917679:DR917685 S983215:DR983221 S65711:DR6571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94B958-2785-4D15-0CF5-0994A7C7665D}" mc:Ignorable="x14ac xr xr2 xr3">
  <sheetPr>
    <tabColor theme="6" tint="0.4"/>
  </sheetPr>
  <dimension ref="A1:AX58"/>
  <sheetViews>
    <sheetView topLeftCell="A1" showGridLines="0" zoomScale="90" workbookViewId="0">
      <selection activeCell="A1" sqref="A1"/>
    </sheetView>
  </sheetViews>
  <sheetFormatPr defaultColWidth="10.57421875" customHeight="1" defaultRowHeight="14.25"/>
  <cols>
    <col min="1" max="1" style="16550" width="10.57421875" hidden="1"/>
    <col min="2" max="2" style="16550" width="11.00390625" hidden="1" customWidth="1"/>
    <col min="3" max="3" style="16550" width="10.57421875" hidden="1"/>
    <col min="4" max="4" style="16550" width="11.8515625" hidden="1" customWidth="1"/>
    <col min="5" max="5" style="16550" width="10.00390625" hidden="1" customWidth="1"/>
    <col min="6" max="6" style="16550" width="8.7109375" hidden="1" customWidth="1"/>
    <col min="7" max="7" style="16550" width="7.57421875" hidden="1" customWidth="1"/>
    <col min="8" max="8" style="16550" width="11.421875" hidden="1" customWidth="1"/>
    <col min="9" max="9" style="16550" width="14.140625" hidden="1" customWidth="1"/>
    <col min="10" max="10" style="16550" width="9.8515625" hidden="1" customWidth="1"/>
    <col min="11" max="11" style="16550" width="14.7109375" hidden="1" customWidth="1"/>
    <col min="12" max="12" style="16899" width="19.140625" hidden="1" customWidth="1"/>
    <col min="13" max="14" style="16631" width="12.28125" hidden="1" customWidth="1"/>
    <col min="15" max="15" style="16631" width="23.421875" hidden="1" customWidth="1"/>
    <col min="16" max="16" style="16900" width="3.7109375" customWidth="1"/>
    <col min="17" max="18" style="16633" width="3.7109375" customWidth="1"/>
    <col min="19" max="19" style="16634" width="12.7109375" customWidth="1"/>
    <col min="20" max="20" style="16635" width="35.7109375" customWidth="1"/>
    <col min="21" max="21" style="16635" width="0.140625" customWidth="1"/>
    <col min="22" max="22" style="16635" width="19.7109375" hidden="1" customWidth="1"/>
    <col min="23" max="27" style="16676" width="19.7109375" hidden="1" customWidth="1"/>
    <col min="28" max="28" style="16635" width="19.7109375" hidden="1" customWidth="1"/>
    <col min="29" max="29" style="16635" width="11.7109375" hidden="1" customWidth="1"/>
    <col min="30" max="30" style="16635" width="3.7109375" hidden="1" customWidth="1"/>
    <col min="31" max="31" style="16635" width="11.7109375" hidden="1" customWidth="1"/>
    <col min="32" max="32" style="16635" width="8.57421875" hidden="1" customWidth="1"/>
    <col min="33" max="33" style="16635" width="19.7109375" customWidth="1"/>
    <col min="34" max="38" style="16676" width="19.7109375" customWidth="1"/>
    <col min="39" max="39" style="16635" width="19.7109375" customWidth="1"/>
    <col min="40" max="40" style="16635" width="11.7109375" customWidth="1"/>
    <col min="41" max="41" style="16635" width="3.7109375" customWidth="1"/>
    <col min="42" max="42" style="16635" width="11.7109375" customWidth="1"/>
    <col min="43" max="43" style="16635" width="8.57421875" hidden="1" customWidth="1"/>
    <col min="44" max="44" style="16635" width="4.7109375" customWidth="1"/>
    <col min="45" max="45" style="16635" width="115.7109375" customWidth="1"/>
    <col min="46" max="47" style="16622" width="10.57421875"/>
    <col min="48" max="48" style="16622" width="11.140625" customWidth="1"/>
    <col min="49" max="50" style="16622" width="10.57421875"/>
  </cols>
  <sheetData>
    <row customHeight="1" ht="14.25" hidden="1">
      <c r="AB1" s="549"/>
      <c r="AC1" s="549"/>
      <c r="AM1" s="549"/>
      <c r="AN1" s="549"/>
    </row>
    <row customHeight="1" ht="23.25" hidden="1">
      <c r="A2" s="1590"/>
      <c r="B2" s="1590"/>
      <c r="C2" s="1590"/>
      <c r="D2" s="1590"/>
      <c r="E2" s="2388">
        <v>1</v>
      </c>
      <c r="F2" s="1590"/>
      <c r="G2" s="1590"/>
      <c r="H2" s="1590"/>
      <c r="I2" s="1590"/>
      <c r="J2" s="1590"/>
      <c r="K2" s="1590"/>
      <c r="L2" s="1591"/>
      <c r="M2" s="1592"/>
      <c r="N2" s="1592"/>
      <c r="O2" s="1592"/>
      <c r="P2" s="583"/>
      <c r="Q2" s="582"/>
      <c r="R2" s="577"/>
      <c r="S2" s="1720">
        <f>INDEX(PT_DIFFERENTIATION_NUM_NTAR,MATCH(A2,PT_DIFFERENTIATION_NTAR_ID,0))</f>
      </c>
      <c r="T2" s="520" t="s">
        <v>179</v>
      </c>
      <c r="U2" s="522"/>
      <c r="V2" s="2382"/>
      <c r="W2" s="2383"/>
      <c r="X2" s="2383"/>
      <c r="Y2" s="2383"/>
      <c r="Z2" s="2383"/>
      <c r="AA2" s="2383"/>
      <c r="AB2" s="2383"/>
      <c r="AC2" s="2383"/>
      <c r="AD2" s="2383"/>
      <c r="AE2" s="2383"/>
      <c r="AF2" s="2384"/>
      <c r="AG2" s="2382">
        <f>INDEX(PT_DIFFERENTIATION_NTAR,MATCH(A2,PT_DIFFERENTIATION_NTAR_ID,0))</f>
      </c>
      <c r="AH2" s="2383"/>
      <c r="AI2" s="2383"/>
      <c r="AJ2" s="2383"/>
      <c r="AK2" s="2383"/>
      <c r="AL2" s="2383"/>
      <c r="AM2" s="2383"/>
      <c r="AN2" s="2383"/>
      <c r="AO2" s="2383"/>
      <c r="AP2" s="2383"/>
      <c r="AQ2" s="2383"/>
      <c r="AR2" s="2384"/>
      <c r="AS2" s="14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2"/>
      <c r="AV2" s="722" t="str">
        <f>IF(T2="","",T2)</f>
        <v>Наименование тарифа</v>
      </c>
      <c r="AW2" s="722"/>
      <c r="AX2" s="722"/>
    </row>
    <row customHeight="1" ht="23.25" hidden="1">
      <c r="A3" s="1590"/>
      <c r="B3" s="1590"/>
      <c r="C3" s="1590"/>
      <c r="D3" s="1590"/>
      <c r="E3" s="2389"/>
      <c r="F3" s="2388">
        <v>1</v>
      </c>
      <c r="G3" s="1590"/>
      <c r="H3" s="1590"/>
      <c r="I3" s="1590"/>
      <c r="J3" s="1590"/>
      <c r="K3" s="1590"/>
      <c r="L3" s="1591"/>
      <c r="M3" s="1592"/>
      <c r="N3" s="1592"/>
      <c r="O3" s="1592"/>
      <c r="P3" s="1714"/>
      <c r="Q3" s="574"/>
      <c r="R3" s="575"/>
      <c r="S3" s="1720">
        <f>INDEX(PT_DIFFERENTIATION_NUM_TER,MATCH(B3,PT_DIFFERENTIATION_TER_ID,0))</f>
      </c>
      <c r="T3" s="530" t="s">
        <v>503</v>
      </c>
      <c r="U3" s="522"/>
      <c r="V3" s="2382"/>
      <c r="W3" s="2383"/>
      <c r="X3" s="2383"/>
      <c r="Y3" s="2383"/>
      <c r="Z3" s="2383"/>
      <c r="AA3" s="2383"/>
      <c r="AB3" s="2383"/>
      <c r="AC3" s="2383"/>
      <c r="AD3" s="2383"/>
      <c r="AE3" s="2383"/>
      <c r="AF3" s="2384"/>
      <c r="AG3" s="2382">
        <f>INDEX(PT_DIFFERENTIATION_TER,MATCH(B3,PT_DIFFERENTIATION_TER_ID,0))</f>
      </c>
      <c r="AH3" s="2383"/>
      <c r="AI3" s="2383"/>
      <c r="AJ3" s="2383"/>
      <c r="AK3" s="2383"/>
      <c r="AL3" s="2383"/>
      <c r="AM3" s="2383"/>
      <c r="AN3" s="2383"/>
      <c r="AO3" s="2383"/>
      <c r="AP3" s="2383"/>
      <c r="AQ3" s="2383"/>
      <c r="AR3" s="2384"/>
      <c r="AS3" s="1484" t="s">
        <v>504</v>
      </c>
      <c r="AU3" s="722"/>
      <c r="AV3" s="722" t="str">
        <f>IF(T3="","",T3)</f>
        <v>Территория действия тарифа</v>
      </c>
      <c r="AW3" s="722"/>
      <c r="AX3" s="722"/>
    </row>
    <row customHeight="1" ht="23.25" hidden="1">
      <c r="A4" s="1590"/>
      <c r="B4" s="1590"/>
      <c r="C4" s="1590"/>
      <c r="D4" s="1590"/>
      <c r="E4" s="2389"/>
      <c r="F4" s="2389"/>
      <c r="G4" s="2388">
        <v>1</v>
      </c>
      <c r="H4" s="1590"/>
      <c r="I4" s="1590"/>
      <c r="J4" s="1590"/>
      <c r="K4" s="1590"/>
      <c r="L4" s="1591"/>
      <c r="M4" s="1592"/>
      <c r="N4" s="1592"/>
      <c r="O4" s="1592"/>
      <c r="P4" s="576"/>
      <c r="Q4" s="574"/>
      <c r="R4" s="575"/>
      <c r="S4" s="1720">
        <f>INDEX(PT_DIFFERENTIATION_NUM_CS,MATCH(C4,PT_DIFFERENTIATION_CS_ID,0))</f>
      </c>
      <c r="T4" s="531" t="s">
        <v>634</v>
      </c>
      <c r="U4" s="522"/>
      <c r="V4" s="2382"/>
      <c r="W4" s="2383"/>
      <c r="X4" s="2383"/>
      <c r="Y4" s="2383"/>
      <c r="Z4" s="2383"/>
      <c r="AA4" s="2383"/>
      <c r="AB4" s="2383"/>
      <c r="AC4" s="2383"/>
      <c r="AD4" s="2383"/>
      <c r="AE4" s="2383"/>
      <c r="AF4" s="2384"/>
      <c r="AG4" s="2382">
        <f>INDEX(PT_DIFFERENTIATION_CS,MATCH(C4,PT_DIFFERENTIATION_CS_ID,0))</f>
      </c>
      <c r="AH4" s="2383"/>
      <c r="AI4" s="2383"/>
      <c r="AJ4" s="2383"/>
      <c r="AK4" s="2383"/>
      <c r="AL4" s="2383"/>
      <c r="AM4" s="2383"/>
      <c r="AN4" s="2383"/>
      <c r="AO4" s="2383"/>
      <c r="AP4" s="2383"/>
      <c r="AQ4" s="2383"/>
      <c r="AR4" s="2384"/>
      <c r="AS4" s="1484" t="s">
        <v>635</v>
      </c>
      <c r="AU4" s="722"/>
      <c r="AV4" s="722" t="str">
        <f>IF(T4="","",T4)</f>
        <v>Наименование централизованной системы горячего водоснабжения</v>
      </c>
      <c r="AW4" s="722"/>
      <c r="AX4" s="722"/>
    </row>
    <row customHeight="1" ht="23.25" hidden="1">
      <c r="A5" s="1590"/>
      <c r="B5" s="1590"/>
      <c r="C5" s="1590"/>
      <c r="D5" s="1590"/>
      <c r="E5" s="2389"/>
      <c r="F5" s="2389"/>
      <c r="G5" s="2389"/>
      <c r="H5" s="2389"/>
      <c r="I5" s="2390">
        <f>S4&amp;".1"</f>
      </c>
      <c r="J5" s="1590"/>
      <c r="K5" s="1590"/>
      <c r="L5" s="1591"/>
      <c r="P5" s="2392">
        <v>1</v>
      </c>
      <c r="Q5" s="1708"/>
      <c r="R5" s="578"/>
      <c r="S5" s="1720">
        <f>$I5</f>
      </c>
      <c r="T5" s="507" t="s">
        <v>587</v>
      </c>
      <c r="U5" s="522"/>
      <c r="V5" s="2475"/>
      <c r="W5" s="2476"/>
      <c r="X5" s="2476"/>
      <c r="Y5" s="2476"/>
      <c r="Z5" s="2476"/>
      <c r="AA5" s="2476"/>
      <c r="AB5" s="2476"/>
      <c r="AC5" s="2476"/>
      <c r="AD5" s="2476"/>
      <c r="AE5" s="2476"/>
      <c r="AF5" s="2477"/>
      <c r="AG5" s="2478"/>
      <c r="AH5" s="2479"/>
      <c r="AI5" s="2479"/>
      <c r="AJ5" s="2479"/>
      <c r="AK5" s="2479"/>
      <c r="AL5" s="2479"/>
      <c r="AM5" s="2479"/>
      <c r="AN5" s="2479"/>
      <c r="AO5" s="2479"/>
      <c r="AP5" s="2479"/>
      <c r="AQ5" s="2479"/>
      <c r="AR5" s="2480"/>
      <c r="AS5" s="1484" t="s">
        <v>588</v>
      </c>
      <c r="AU5" s="722"/>
      <c r="AV5" s="722" t="str">
        <f>IF(T5="","",T5)</f>
        <v>Наименование признака дифференциации</v>
      </c>
      <c r="AW5" s="722"/>
      <c r="AX5" s="722"/>
    </row>
    <row customHeight="1" ht="23.25" hidden="1">
      <c r="A6" s="1590"/>
      <c r="B6" s="1590"/>
      <c r="C6" s="1590"/>
      <c r="D6" s="1590"/>
      <c r="E6" s="2389"/>
      <c r="F6" s="2389"/>
      <c r="G6" s="2389"/>
      <c r="H6" s="2389"/>
      <c r="I6" s="2391"/>
      <c r="J6" s="2390">
        <f>I5&amp;".1"</f>
      </c>
      <c r="K6" s="1590"/>
      <c r="L6" s="1591" t="s">
        <v>512</v>
      </c>
      <c r="P6" s="2392"/>
      <c r="Q6" s="2392">
        <v>1</v>
      </c>
      <c r="R6" s="579"/>
      <c r="S6" s="1720">
        <f>$J6</f>
      </c>
      <c r="T6" s="508" t="s">
        <v>513</v>
      </c>
      <c r="U6" s="522"/>
      <c r="V6" s="2376"/>
      <c r="W6" s="2377"/>
      <c r="X6" s="2377"/>
      <c r="Y6" s="2377"/>
      <c r="Z6" s="2377"/>
      <c r="AA6" s="2377"/>
      <c r="AB6" s="2377"/>
      <c r="AC6" s="2377"/>
      <c r="AD6" s="2377"/>
      <c r="AE6" s="2377"/>
      <c r="AF6" s="2378"/>
      <c r="AG6" s="2376"/>
      <c r="AH6" s="2377"/>
      <c r="AI6" s="2377"/>
      <c r="AJ6" s="2377"/>
      <c r="AK6" s="2377"/>
      <c r="AL6" s="2377"/>
      <c r="AM6" s="2377"/>
      <c r="AN6" s="2377"/>
      <c r="AO6" s="2377"/>
      <c r="AP6" s="2377"/>
      <c r="AQ6" s="2377"/>
      <c r="AR6" s="2378"/>
      <c r="AS6" s="1534" t="s">
        <v>589</v>
      </c>
      <c r="AU6" s="722"/>
      <c r="AV6" s="722" t="str">
        <f>IF(T6="","",T6)</f>
        <v>Группа потребителей</v>
      </c>
      <c r="AW6" s="722"/>
      <c r="AX6" s="722"/>
    </row>
    <row customHeight="1" ht="23.25" hidden="1">
      <c r="A7" s="1590"/>
      <c r="B7" s="1590"/>
      <c r="C7" s="1590"/>
      <c r="D7" s="1590"/>
      <c r="E7" s="2389"/>
      <c r="F7" s="2389"/>
      <c r="G7" s="2389"/>
      <c r="H7" s="2389"/>
      <c r="I7" s="2391"/>
      <c r="J7" s="2391"/>
      <c r="K7" s="2390">
        <f>J6&amp;".1"</f>
      </c>
      <c r="L7" s="1591"/>
      <c r="P7" s="2392"/>
      <c r="Q7" s="2392"/>
      <c r="R7" s="579">
        <v>1</v>
      </c>
      <c r="S7" s="1720">
        <f>$K7</f>
      </c>
      <c r="T7" s="1664"/>
      <c r="U7" s="522"/>
      <c r="V7" s="973"/>
      <c r="W7" s="973"/>
      <c r="X7" s="973"/>
      <c r="Y7" s="973"/>
      <c r="Z7" s="973"/>
      <c r="AA7" s="973"/>
      <c r="AB7" s="1483"/>
      <c r="AC7" s="2393"/>
      <c r="AD7" s="2263" t="s">
        <v>63</v>
      </c>
      <c r="AE7" s="2393"/>
      <c r="AF7" s="2263" t="s">
        <v>63</v>
      </c>
      <c r="AG7" s="973"/>
      <c r="AH7" s="973"/>
      <c r="AI7" s="973"/>
      <c r="AJ7" s="973"/>
      <c r="AK7" s="973"/>
      <c r="AL7" s="973"/>
      <c r="AM7" s="1483"/>
      <c r="AN7" s="2393"/>
      <c r="AO7" s="2263" t="s">
        <v>63</v>
      </c>
      <c r="AP7" s="2395"/>
      <c r="AQ7" s="2263" t="s">
        <v>63</v>
      </c>
      <c r="AR7" s="1665"/>
      <c r="AS7" s="24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3">
        <f>STRCHECKDATE(V8:AR8)</f>
      </c>
      <c r="AU7" s="722"/>
      <c r="AV7" s="722" t="str">
        <f>IF(T7="","",T7)</f>
        <v/>
      </c>
      <c r="AW7" s="722"/>
      <c r="AX7" s="722"/>
    </row>
    <row customHeight="1" ht="14.25" hidden="1">
      <c r="A8" s="1590"/>
      <c r="B8" s="1590"/>
      <c r="C8" s="1590"/>
      <c r="D8" s="1590"/>
      <c r="E8" s="2389"/>
      <c r="F8" s="2389"/>
      <c r="G8" s="2389"/>
      <c r="H8" s="2389"/>
      <c r="I8" s="2391"/>
      <c r="J8" s="2391"/>
      <c r="K8" s="2390"/>
      <c r="L8" s="1591"/>
      <c r="P8" s="2392"/>
      <c r="Q8" s="2392"/>
      <c r="R8" s="579"/>
      <c r="S8" s="1717"/>
      <c r="T8" s="522"/>
      <c r="U8" s="522"/>
      <c r="V8" s="547"/>
      <c r="W8" s="547"/>
      <c r="X8" s="547"/>
      <c r="Y8" s="547"/>
      <c r="Z8" s="547"/>
      <c r="AA8" s="547"/>
      <c r="AB8" s="550" t="str">
        <f>AC7&amp;"-"&amp;AE7</f>
        <v>-</v>
      </c>
      <c r="AC8" s="2394"/>
      <c r="AD8" s="2263"/>
      <c r="AE8" s="2394"/>
      <c r="AF8" s="2263"/>
      <c r="AG8" s="547"/>
      <c r="AH8" s="547"/>
      <c r="AI8" s="547"/>
      <c r="AJ8" s="547"/>
      <c r="AK8" s="547"/>
      <c r="AL8" s="547"/>
      <c r="AM8" s="550" t="str">
        <f>AN7&amp;"-"&amp;AP7</f>
        <v>-</v>
      </c>
      <c r="AN8" s="2394"/>
      <c r="AO8" s="2263"/>
      <c r="AP8" s="2396"/>
      <c r="AQ8" s="2263"/>
      <c r="AR8" s="1666"/>
      <c r="AS8" s="2481"/>
      <c r="AU8" s="722"/>
      <c r="AV8" s="722" t="str">
        <f>IF(T8="","",T8)</f>
        <v/>
      </c>
      <c r="AW8" s="722"/>
      <c r="AX8" s="722"/>
    </row>
    <row customHeight="1" ht="21" hidden="1">
      <c r="A9" s="1590"/>
      <c r="B9" s="1590"/>
      <c r="C9" s="1590"/>
      <c r="D9" s="1590"/>
      <c r="E9" s="2389"/>
      <c r="F9" s="2389"/>
      <c r="G9" s="2389"/>
      <c r="H9" s="2389"/>
      <c r="I9" s="2391"/>
      <c r="J9" s="2390"/>
      <c r="K9" s="1590"/>
      <c r="L9" s="1591"/>
      <c r="P9" s="2392"/>
      <c r="Q9" s="2392"/>
      <c r="R9" s="578"/>
      <c r="S9" s="1505"/>
      <c r="T9" s="509" t="s">
        <v>590</v>
      </c>
      <c r="U9" s="589"/>
      <c r="V9" s="589"/>
      <c r="W9" s="822"/>
      <c r="X9" s="822"/>
      <c r="Y9" s="822"/>
      <c r="Z9" s="822"/>
      <c r="AA9" s="822"/>
      <c r="AB9" s="589"/>
      <c r="AC9" s="589"/>
      <c r="AD9" s="589"/>
      <c r="AE9" s="589"/>
      <c r="AF9" s="589"/>
      <c r="AG9" s="589"/>
      <c r="AH9" s="822"/>
      <c r="AI9" s="822"/>
      <c r="AJ9" s="822"/>
      <c r="AK9" s="822"/>
      <c r="AL9" s="822"/>
      <c r="AM9" s="589"/>
      <c r="AN9" s="589"/>
      <c r="AO9" s="589"/>
      <c r="AP9" s="589"/>
      <c r="AQ9" s="589"/>
      <c r="AR9" s="589"/>
      <c r="AS9" s="1484" t="s">
        <v>591</v>
      </c>
      <c r="AU9" s="722"/>
      <c r="AV9" s="722" t="str">
        <f>IF(T9="","",T9)</f>
        <v>Добавить значение признака дифференциации</v>
      </c>
      <c r="AW9" s="722"/>
      <c r="AX9" s="722"/>
    </row>
    <row customHeight="1" ht="21" hidden="1">
      <c r="A10" s="1590"/>
      <c r="B10" s="1590"/>
      <c r="C10" s="1590"/>
      <c r="D10" s="1590"/>
      <c r="E10" s="2389"/>
      <c r="F10" s="2389"/>
      <c r="G10" s="2389"/>
      <c r="H10" s="2389"/>
      <c r="I10" s="2390"/>
      <c r="J10" s="1590"/>
      <c r="K10" s="1590"/>
      <c r="L10" s="1591"/>
      <c r="P10" s="2392"/>
      <c r="Q10" s="1708"/>
      <c r="R10" s="578"/>
      <c r="S10" s="1505"/>
      <c r="T10" s="587" t="s">
        <v>518</v>
      </c>
      <c r="U10" s="589"/>
      <c r="V10" s="589"/>
      <c r="W10" s="822"/>
      <c r="X10" s="822"/>
      <c r="Y10" s="822"/>
      <c r="Z10" s="822"/>
      <c r="AA10" s="822"/>
      <c r="AB10" s="589"/>
      <c r="AC10" s="589"/>
      <c r="AD10" s="589"/>
      <c r="AE10" s="589"/>
      <c r="AF10" s="588"/>
      <c r="AG10" s="589"/>
      <c r="AH10" s="822"/>
      <c r="AI10" s="822"/>
      <c r="AJ10" s="822"/>
      <c r="AK10" s="822"/>
      <c r="AL10" s="822"/>
      <c r="AM10" s="589"/>
      <c r="AN10" s="589"/>
      <c r="AO10" s="589"/>
      <c r="AP10" s="589"/>
      <c r="AQ10" s="588"/>
      <c r="AR10" s="589"/>
      <c r="AS10" s="1667"/>
      <c r="AU10" s="722"/>
      <c r="AV10" s="722" t="str">
        <f>IF(T10="","",T10)</f>
        <v>Добавить группу потребителей</v>
      </c>
      <c r="AW10" s="722"/>
      <c r="AX10" s="722"/>
    </row>
    <row customHeight="1" ht="21" hidden="1">
      <c r="A11" s="1590"/>
      <c r="B11" s="1590"/>
      <c r="C11" s="1590"/>
      <c r="D11" s="1590"/>
      <c r="E11" s="2389"/>
      <c r="F11" s="2389"/>
      <c r="G11" s="2389"/>
      <c r="H11" s="2388"/>
      <c r="I11" s="1590"/>
      <c r="J11" s="1590"/>
      <c r="K11" s="1590"/>
      <c r="L11" s="1591"/>
      <c r="M11" s="1592"/>
      <c r="N11" s="1592"/>
      <c r="O11" s="759"/>
      <c r="P11" s="582"/>
      <c r="Q11" s="597"/>
      <c r="R11" s="577"/>
      <c r="S11" s="1505"/>
      <c r="T11" s="594" t="s">
        <v>592</v>
      </c>
      <c r="U11" s="589"/>
      <c r="V11" s="589"/>
      <c r="W11" s="822"/>
      <c r="X11" s="822"/>
      <c r="Y11" s="822"/>
      <c r="Z11" s="822"/>
      <c r="AA11" s="822"/>
      <c r="AB11" s="589"/>
      <c r="AC11" s="589"/>
      <c r="AD11" s="589"/>
      <c r="AE11" s="589"/>
      <c r="AF11" s="588"/>
      <c r="AG11" s="589"/>
      <c r="AH11" s="822"/>
      <c r="AI11" s="822"/>
      <c r="AJ11" s="822"/>
      <c r="AK11" s="822"/>
      <c r="AL11" s="822"/>
      <c r="AM11" s="589"/>
      <c r="AN11" s="589"/>
      <c r="AO11" s="589"/>
      <c r="AP11" s="589"/>
      <c r="AQ11" s="588"/>
      <c r="AR11" s="589"/>
      <c r="AS11" s="525"/>
      <c r="AU11" s="722"/>
      <c r="AV11" s="722" t="str">
        <f>IF(T11="","",T11)</f>
        <v>Добавить наименование признака дифференциации</v>
      </c>
      <c r="AW11" s="722"/>
      <c r="AX11" s="722"/>
    </row>
    <row s="16531" customFormat="1" customHeight="1" ht="14.25" hidden="1">
      <c r="A12" s="1570"/>
      <c r="B12" s="1570"/>
      <c r="C12" s="1541"/>
      <c r="D12" s="1541"/>
      <c r="E12" s="2389"/>
      <c r="F12" s="2388"/>
      <c r="G12" s="1541"/>
      <c r="H12" s="1541"/>
      <c r="I12" s="1541"/>
      <c r="J12" s="1541"/>
      <c r="K12" s="1541"/>
      <c r="L12" s="1721"/>
      <c r="M12" s="1548"/>
      <c r="N12" s="1548"/>
      <c r="P12" s="1543"/>
      <c r="Q12" s="1544"/>
      <c r="R12" s="1543"/>
      <c r="S12" s="1549"/>
      <c r="T12" s="1552" t="s">
        <v>305</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1"/>
      <c r="AV12" s="1011" t="str">
        <f>IF(T12="","",T12)</f>
        <v>Добавить централизованную систему для дифференциации</v>
      </c>
      <c r="AW12" s="1011"/>
      <c r="AX12" s="1011"/>
    </row>
    <row s="16622" customFormat="1" customHeight="1" ht="14.25" hidden="1">
      <c r="A13" s="1570"/>
      <c r="B13" s="1570"/>
      <c r="C13" s="1570"/>
      <c r="D13" s="1570"/>
      <c r="E13" s="2388"/>
      <c r="F13" s="1570"/>
      <c r="G13" s="1570"/>
      <c r="H13" s="1570"/>
      <c r="I13" s="1570"/>
      <c r="J13" s="1570"/>
      <c r="K13" s="1570"/>
      <c r="L13" s="1573"/>
      <c r="M13" s="1548"/>
      <c r="N13" s="1548"/>
      <c r="O13" s="740"/>
      <c r="P13" s="602"/>
      <c r="Q13" s="1571"/>
      <c r="R13" s="602"/>
      <c r="S13" s="1549"/>
      <c r="T13" s="1552" t="s">
        <v>358</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2"/>
      <c r="AV13" s="722" t="str">
        <f>IF(T13="","",T13)</f>
        <v>Добавить территорию для дифференциации</v>
      </c>
      <c r="AW13" s="722"/>
      <c r="AX13" s="722"/>
    </row>
    <row customHeight="1" ht="14.25" hidden="1">
      <c r="AF14" s="549"/>
      <c r="AQ14" s="549"/>
    </row>
    <row customHeight="1" ht="14.25" hidden="1">
      <c r="AG15" s="1587"/>
      <c r="AH15" s="1587"/>
      <c r="AI15" s="1587"/>
      <c r="AJ15" s="1587"/>
      <c r="AK15" s="1587"/>
      <c r="AL15" s="1587"/>
      <c r="AM15" s="1588"/>
      <c r="AN15" s="2386"/>
      <c r="AO15" s="2385" t="s">
        <v>63</v>
      </c>
      <c r="AP15" s="2386"/>
      <c r="AQ15" s="2385" t="s">
        <v>63</v>
      </c>
    </row>
    <row customHeight="1" ht="14.25" hidden="1">
      <c r="AG16" s="1587"/>
      <c r="AH16" s="1587"/>
      <c r="AI16" s="1587"/>
      <c r="AJ16" s="1587"/>
      <c r="AK16" s="1587"/>
      <c r="AL16" s="1587"/>
      <c r="AM16" s="550" t="str">
        <f>AN15&amp;"-"&amp;AP15</f>
        <v>-</v>
      </c>
      <c r="AN16" s="2385"/>
      <c r="AO16" s="2385"/>
      <c r="AP16" s="2385"/>
      <c r="AQ16" s="2385"/>
    </row>
    <row customHeight="1" ht="14.25" hidden="1">
      <c r="AQ17" s="549"/>
    </row>
    <row s="16550" customFormat="1" customHeight="1" ht="22.5" hidden="1">
      <c r="L18" s="1705"/>
      <c r="M18" s="1589"/>
      <c r="N18" s="1589"/>
      <c r="O18" s="1594" t="s">
        <v>521</v>
      </c>
      <c r="P18" s="1589"/>
      <c r="Q18" s="1598"/>
      <c r="R18" s="1598"/>
      <c r="S18" s="951"/>
      <c r="W18" s="1593"/>
      <c r="X18" s="1593"/>
      <c r="Y18" s="1593"/>
      <c r="Z18" s="1593"/>
      <c r="AA18" s="1593"/>
      <c r="AC18" s="1594"/>
      <c r="AE18" s="1594"/>
      <c r="AF18" s="1593"/>
      <c r="AH18" s="1593"/>
      <c r="AI18" s="1593"/>
      <c r="AJ18" s="1593"/>
      <c r="AK18" s="1593"/>
      <c r="AL18" s="1593"/>
      <c r="AN18" s="1594"/>
      <c r="AP18" s="1594"/>
      <c r="AQ18" s="1593"/>
      <c r="AT18" s="733"/>
      <c r="AU18" s="733"/>
      <c r="AV18" s="733"/>
      <c r="AW18" s="733"/>
      <c r="AX18" s="733"/>
    </row>
    <row s="16550" customFormat="1" customHeight="1" ht="14.25" hidden="1">
      <c r="L19" s="1705"/>
      <c r="M19" s="1589"/>
      <c r="N19" s="1589"/>
      <c r="O19" s="1589"/>
      <c r="P19" s="1589"/>
      <c r="Q19" s="1598"/>
      <c r="R19" s="1598"/>
      <c r="S19" s="951"/>
      <c r="W19" s="1593"/>
      <c r="X19" s="1593"/>
      <c r="Y19" s="1593"/>
      <c r="Z19" s="1593"/>
      <c r="AA19" s="1593"/>
      <c r="AF19" s="1593"/>
      <c r="AH19" s="1593"/>
      <c r="AI19" s="1593"/>
      <c r="AJ19" s="1593"/>
      <c r="AK19" s="1593"/>
      <c r="AL19" s="1593"/>
      <c r="AQ19" s="1593"/>
      <c r="AT19" s="733"/>
      <c r="AU19" s="733"/>
      <c r="AV19" s="733"/>
      <c r="AW19" s="733"/>
      <c r="AX19" s="733"/>
    </row>
    <row s="16550" customFormat="1" customHeight="1" ht="12" hidden="1">
      <c r="L20" s="1705"/>
      <c r="M20" s="1589"/>
      <c r="N20" s="1589"/>
      <c r="O20" s="1591" t="s">
        <v>522</v>
      </c>
      <c r="P20" s="1589"/>
      <c r="Q20" s="1669"/>
      <c r="R20" s="1669"/>
      <c r="S20" s="951"/>
      <c r="T20" s="1384" t="s">
        <v>523</v>
      </c>
      <c r="W20" s="1593"/>
      <c r="X20" s="1593"/>
      <c r="Y20" s="1593"/>
      <c r="Z20" s="1593"/>
      <c r="AA20" s="1593"/>
      <c r="AD20" s="408" t="s">
        <v>524</v>
      </c>
      <c r="AF20" s="408" t="s">
        <v>525</v>
      </c>
      <c r="AG20" s="1384" t="s">
        <v>523</v>
      </c>
      <c r="AH20" s="1593"/>
      <c r="AI20" s="1593"/>
      <c r="AJ20" s="1593"/>
      <c r="AK20" s="1593"/>
      <c r="AL20" s="1593"/>
      <c r="AO20" s="408" t="s">
        <v>526</v>
      </c>
      <c r="AQ20" s="408" t="s">
        <v>525</v>
      </c>
    </row>
    <row customHeight="1" ht="14.25" hidden="1">
      <c r="O21" s="1591"/>
    </row>
    <row customHeight="1" ht="14.25" hidden="1">
      <c r="O22" s="1591"/>
    </row>
    <row customHeight="1" ht="14.25">
      <c r="Q23" s="598"/>
      <c r="R23" s="598"/>
      <c r="S23" s="1502"/>
      <c r="T23" s="585"/>
      <c r="U23" s="585"/>
      <c r="V23" s="731"/>
      <c r="W23" s="1862"/>
      <c r="X23" s="1862"/>
      <c r="Y23" s="1862"/>
      <c r="Z23" s="1862"/>
      <c r="AA23" s="1862"/>
      <c r="AB23" s="731"/>
      <c r="AC23" s="731"/>
      <c r="AD23" s="731"/>
      <c r="AE23" s="731"/>
      <c r="AF23" s="731"/>
      <c r="AG23" s="731"/>
      <c r="AH23" s="1862"/>
      <c r="AI23" s="1862"/>
      <c r="AJ23" s="1862"/>
      <c r="AK23" s="1862"/>
      <c r="AL23" s="1862"/>
      <c r="AM23" s="731"/>
      <c r="AN23" s="731"/>
      <c r="AO23" s="731"/>
      <c r="AP23" s="731"/>
      <c r="AQ23" s="731"/>
    </row>
    <row customHeight="1" ht="24.75">
      <c r="Q24" s="598"/>
      <c r="R24" s="598"/>
      <c r="S24" s="24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21"/>
      <c r="U24" s="2421"/>
      <c r="V24" s="2421"/>
      <c r="W24" s="2421"/>
      <c r="X24" s="2421"/>
      <c r="Y24" s="2421"/>
      <c r="Z24" s="2421"/>
      <c r="AA24" s="2421"/>
      <c r="AB24" s="2421"/>
      <c r="AC24" s="2421"/>
      <c r="AD24" s="2421"/>
      <c r="AE24" s="2421"/>
      <c r="AF24" s="2421"/>
      <c r="AG24" s="2421"/>
      <c r="AH24" s="2421"/>
      <c r="AI24" s="2421"/>
      <c r="AJ24" s="2421"/>
      <c r="AK24" s="2421"/>
      <c r="AL24" s="2421"/>
      <c r="AM24" s="2421"/>
      <c r="AN24" s="2421"/>
      <c r="AO24" s="2421"/>
      <c r="AP24" s="2421"/>
      <c r="AQ24" s="1469"/>
    </row>
    <row customHeight="1" ht="14.25">
      <c r="Q25" s="598"/>
      <c r="R25" s="598"/>
      <c r="S25" s="2422" t="str">
        <f>IF(org=0,"Не определено",org)</f>
        <v>КГУП "Примтеплоэнерго"</v>
      </c>
      <c r="T25" s="2422"/>
      <c r="U25" s="2422"/>
      <c r="V25" s="2422"/>
      <c r="W25" s="2422"/>
      <c r="X25" s="2422"/>
      <c r="Y25" s="2422"/>
      <c r="Z25" s="2422"/>
      <c r="AA25" s="2422"/>
      <c r="AB25" s="2422"/>
      <c r="AC25" s="2422"/>
      <c r="AD25" s="2422"/>
      <c r="AE25" s="2422"/>
      <c r="AF25" s="2422"/>
      <c r="AG25" s="2422"/>
      <c r="AH25" s="2422"/>
      <c r="AI25" s="2422"/>
      <c r="AJ25" s="2422"/>
      <c r="AK25" s="2422"/>
      <c r="AL25" s="2422"/>
      <c r="AM25" s="2422"/>
      <c r="AN25" s="2422"/>
      <c r="AO25" s="2422"/>
      <c r="AP25" s="2422"/>
      <c r="AQ25" s="1469"/>
    </row>
    <row customHeight="1" ht="14.25" hidden="1">
      <c r="Q26" s="598"/>
      <c r="R26" s="598"/>
      <c r="S26" s="1502"/>
      <c r="T26" s="585"/>
      <c r="U26" s="585"/>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731"/>
    </row>
    <row s="16563" customFormat="1" customHeight="1" ht="25.5" hidden="1">
      <c r="A27" s="1595"/>
      <c r="B27" s="1595"/>
      <c r="C27" s="1595"/>
      <c r="D27" s="1595"/>
      <c r="E27" s="1595"/>
      <c r="F27" s="1595"/>
      <c r="G27" s="1595"/>
      <c r="H27" s="1595"/>
      <c r="I27" s="1595"/>
      <c r="J27" s="1595"/>
      <c r="K27" s="1595"/>
      <c r="L27" s="1596"/>
      <c r="M27" s="1595"/>
      <c r="N27" s="1595"/>
      <c r="O27" s="1595"/>
      <c r="S27" s="2379" t="s">
        <v>38</v>
      </c>
      <c r="T27" s="2379"/>
      <c r="U27" s="1599"/>
      <c r="V27" s="2381" t="str">
        <f>IF(TITLE_NAME_OR_PR_CHANGE="",IF(TITLE_NAME_OR_PR="","",TITLE_NAME_OR_PR),TITLE_NAME_OR_PR_CHANGE)</f>
        <v/>
      </c>
      <c r="W27" s="2381"/>
      <c r="X27" s="2381"/>
      <c r="Y27" s="2381"/>
      <c r="Z27" s="2381"/>
      <c r="AA27" s="2381"/>
      <c r="AB27" s="2381"/>
      <c r="AC27" s="2381"/>
      <c r="AD27" s="2381"/>
      <c r="AE27" s="2381"/>
      <c r="AF27" s="548"/>
      <c r="AG27" s="2381" t="str">
        <f>IF(TITLE_NAME_OR_PR_CHANGE="",IF(TITLE_NAME_OR_PR="","",TITLE_NAME_OR_PR),TITLE_NAME_OR_PR_CHANGE)</f>
        <v/>
      </c>
      <c r="AH27" s="2381"/>
      <c r="AI27" s="2381"/>
      <c r="AJ27" s="2381"/>
      <c r="AK27" s="2381"/>
      <c r="AL27" s="2381"/>
      <c r="AM27" s="2381"/>
      <c r="AN27" s="2381"/>
      <c r="AO27" s="2381"/>
      <c r="AP27" s="2381"/>
      <c r="AQ27" s="548"/>
      <c r="AR27" s="548"/>
      <c r="AS27" s="502"/>
      <c r="AT27" s="590"/>
      <c r="AU27" s="590"/>
      <c r="AV27" s="590"/>
      <c r="AW27" s="590"/>
      <c r="AX27" s="590"/>
    </row>
    <row s="16563" customFormat="1" customHeight="1" ht="18.75" hidden="1">
      <c r="A28" s="1595"/>
      <c r="B28" s="1595"/>
      <c r="C28" s="1595"/>
      <c r="D28" s="1595"/>
      <c r="E28" s="1595"/>
      <c r="F28" s="1595"/>
      <c r="G28" s="1595"/>
      <c r="H28" s="1595"/>
      <c r="I28" s="1595"/>
      <c r="J28" s="1595"/>
      <c r="K28" s="1595"/>
      <c r="L28" s="1596"/>
      <c r="M28" s="1595"/>
      <c r="N28" s="1595"/>
      <c r="O28" s="1595"/>
      <c r="S28" s="2379" t="s">
        <v>527</v>
      </c>
      <c r="T28" s="2379"/>
      <c r="U28" s="1599"/>
      <c r="V28" s="2380" t="str">
        <f>IF(TITLE_DATE_PR_CHANGE="",IF(TITLE_DATE_PR="","",TITLE_DATE_PR),TITLE_DATE_PR_CHANGE)</f>
        <v>45407.47206018519</v>
      </c>
      <c r="W28" s="2380"/>
      <c r="X28" s="2380"/>
      <c r="Y28" s="2380"/>
      <c r="Z28" s="2380"/>
      <c r="AA28" s="2380"/>
      <c r="AB28" s="2380"/>
      <c r="AC28" s="2380"/>
      <c r="AD28" s="2380"/>
      <c r="AE28" s="2380"/>
      <c r="AF28" s="548"/>
      <c r="AG28" s="2380" t="str">
        <f>IF(TITLE_DATE_PR_CHANGE="",IF(TITLE_DATE_PR="","",TITLE_DATE_PR),TITLE_DATE_PR_CHANGE)</f>
        <v>45407.47206018519</v>
      </c>
      <c r="AH28" s="2380"/>
      <c r="AI28" s="2380"/>
      <c r="AJ28" s="2380"/>
      <c r="AK28" s="2380"/>
      <c r="AL28" s="2380"/>
      <c r="AM28" s="2380"/>
      <c r="AN28" s="2380"/>
      <c r="AO28" s="2380"/>
      <c r="AP28" s="2380"/>
      <c r="AQ28" s="548"/>
      <c r="AR28" s="548"/>
      <c r="AS28" s="502"/>
      <c r="AT28" s="590"/>
      <c r="AU28" s="590"/>
      <c r="AV28" s="590"/>
      <c r="AW28" s="590"/>
      <c r="AX28" s="590"/>
    </row>
    <row s="16563" customFormat="1" customHeight="1" ht="18.75" hidden="1">
      <c r="A29" s="1595"/>
      <c r="B29" s="1595"/>
      <c r="C29" s="1595"/>
      <c r="D29" s="1595"/>
      <c r="E29" s="1595"/>
      <c r="F29" s="1595"/>
      <c r="G29" s="1595"/>
      <c r="H29" s="1595"/>
      <c r="I29" s="1595"/>
      <c r="J29" s="1595"/>
      <c r="K29" s="1595"/>
      <c r="L29" s="1596"/>
      <c r="M29" s="1595"/>
      <c r="N29" s="1595"/>
      <c r="O29" s="1595"/>
      <c r="S29" s="2379" t="s">
        <v>528</v>
      </c>
      <c r="T29" s="2379"/>
      <c r="U29" s="1599"/>
      <c r="V29" s="2381" t="str">
        <f>IF(TITLE_NUMBER_PR_CHANGE="",IF(TITLE_NUMBER_PR="","",TITLE_NUMBER_PR),TITLE_NUMBER_PR_CHANGE)</f>
        <v>27-2067</v>
      </c>
      <c r="W29" s="2381"/>
      <c r="X29" s="2381"/>
      <c r="Y29" s="2381"/>
      <c r="Z29" s="2381"/>
      <c r="AA29" s="2381"/>
      <c r="AB29" s="2381"/>
      <c r="AC29" s="2381"/>
      <c r="AD29" s="2381"/>
      <c r="AE29" s="2381"/>
      <c r="AF29" s="548"/>
      <c r="AG29" s="2381" t="str">
        <f>IF(TITLE_NUMBER_PR_CHANGE="",IF(TITLE_NUMBER_PR="","",TITLE_NUMBER_PR),TITLE_NUMBER_PR_CHANGE)</f>
        <v>27-2067</v>
      </c>
      <c r="AH29" s="2381"/>
      <c r="AI29" s="2381"/>
      <c r="AJ29" s="2381"/>
      <c r="AK29" s="2381"/>
      <c r="AL29" s="2381"/>
      <c r="AM29" s="2381"/>
      <c r="AN29" s="2381"/>
      <c r="AO29" s="2381"/>
      <c r="AP29" s="2381"/>
      <c r="AQ29" s="548"/>
      <c r="AR29" s="548"/>
      <c r="AS29" s="502"/>
      <c r="AT29" s="590"/>
      <c r="AU29" s="590"/>
      <c r="AV29" s="590"/>
      <c r="AW29" s="590"/>
      <c r="AX29" s="590"/>
    </row>
    <row s="16563" customFormat="1" customHeight="1" ht="18.75" hidden="1">
      <c r="A30" s="1595"/>
      <c r="B30" s="1595"/>
      <c r="C30" s="1595"/>
      <c r="D30" s="1595"/>
      <c r="E30" s="1595"/>
      <c r="F30" s="1595"/>
      <c r="G30" s="1595"/>
      <c r="H30" s="1595"/>
      <c r="I30" s="1595"/>
      <c r="J30" s="1595"/>
      <c r="K30" s="1595"/>
      <c r="L30" s="1596"/>
      <c r="M30" s="1595"/>
      <c r="N30" s="1595"/>
      <c r="O30" s="1595"/>
      <c r="S30" s="2379" t="s">
        <v>39</v>
      </c>
      <c r="T30" s="2379"/>
      <c r="U30" s="1599"/>
      <c r="V30" s="2381" t="str">
        <f>IF(TITLE_IST_PUB_CHANGE="",IF(TITLE_IST_PUB="","",TITLE_IST_PUB),TITLE_IST_PUB_CHANGE)</f>
        <v/>
      </c>
      <c r="W30" s="2381"/>
      <c r="X30" s="2381"/>
      <c r="Y30" s="2381"/>
      <c r="Z30" s="2381"/>
      <c r="AA30" s="2381"/>
      <c r="AB30" s="2381"/>
      <c r="AC30" s="2381"/>
      <c r="AD30" s="2381"/>
      <c r="AE30" s="2381"/>
      <c r="AF30" s="548"/>
      <c r="AG30" s="2381" t="str">
        <f>IF(TITLE_IST_PUB_CHANGE="",IF(TITLE_IST_PUB="","",TITLE_IST_PUB),TITLE_IST_PUB_CHANGE)</f>
        <v/>
      </c>
      <c r="AH30" s="2381"/>
      <c r="AI30" s="2381"/>
      <c r="AJ30" s="2381"/>
      <c r="AK30" s="2381"/>
      <c r="AL30" s="2381"/>
      <c r="AM30" s="2381"/>
      <c r="AN30" s="2381"/>
      <c r="AO30" s="2381"/>
      <c r="AP30" s="2381"/>
      <c r="AQ30" s="548"/>
      <c r="AR30" s="548"/>
      <c r="AS30" s="502"/>
      <c r="AT30" s="590"/>
      <c r="AU30" s="590"/>
      <c r="AV30" s="590"/>
      <c r="AW30" s="590"/>
      <c r="AX30" s="590"/>
    </row>
    <row customHeight="1" ht="14.25">
      <c r="Q31" s="598"/>
      <c r="R31" s="598"/>
      <c r="S31" s="1502"/>
      <c r="T31" s="585"/>
      <c r="U31" s="585"/>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731"/>
    </row>
    <row s="16563" customFormat="1" customHeight="1" ht="18.75">
      <c r="A32" s="1595"/>
      <c r="B32" s="1595"/>
      <c r="C32" s="1595"/>
      <c r="D32" s="1595"/>
      <c r="E32" s="1595"/>
      <c r="F32" s="1595"/>
      <c r="G32" s="1595"/>
      <c r="H32" s="1595"/>
      <c r="I32" s="1595"/>
      <c r="J32" s="1595"/>
      <c r="K32" s="1595"/>
      <c r="L32" s="1596"/>
      <c r="M32" s="1595"/>
      <c r="N32" s="1595"/>
      <c r="O32" s="1595"/>
      <c r="S32" s="2379" t="s">
        <v>529</v>
      </c>
      <c r="T32" s="2379"/>
      <c r="U32" s="1599"/>
      <c r="V32" s="2380" t="str">
        <f>IF(TITLE_DATE_PR_CHANGE="",IF(TITLE_DATE_PR="","",TITLE_DATE_PR),TITLE_DATE_PR_CHANGE)</f>
        <v>45407.47206018519</v>
      </c>
      <c r="W32" s="2380"/>
      <c r="X32" s="2380"/>
      <c r="Y32" s="2380"/>
      <c r="Z32" s="2380"/>
      <c r="AA32" s="2380"/>
      <c r="AB32" s="2380"/>
      <c r="AC32" s="2380"/>
      <c r="AD32" s="2380"/>
      <c r="AE32" s="2380"/>
      <c r="AF32" s="548"/>
      <c r="AG32" s="2380" t="str">
        <f>IF(TITLE_DATE_PR_CHANGE="",IF(TITLE_DATE_PR="","",TITLE_DATE_PR),TITLE_DATE_PR_CHANGE)</f>
        <v>45407.47206018519</v>
      </c>
      <c r="AH32" s="2380"/>
      <c r="AI32" s="2380"/>
      <c r="AJ32" s="2380"/>
      <c r="AK32" s="2380"/>
      <c r="AL32" s="2380"/>
      <c r="AM32" s="2380"/>
      <c r="AN32" s="2380"/>
      <c r="AO32" s="2380"/>
      <c r="AP32" s="2380"/>
      <c r="AQ32" s="548"/>
      <c r="AR32" s="548"/>
      <c r="AS32" s="502"/>
      <c r="AT32" s="590"/>
      <c r="AU32" s="590"/>
      <c r="AV32" s="590"/>
      <c r="AW32" s="590"/>
      <c r="AX32" s="590"/>
    </row>
    <row s="16563" customFormat="1" customHeight="1" ht="18.75">
      <c r="A33" s="1595"/>
      <c r="B33" s="1595"/>
      <c r="C33" s="1595"/>
      <c r="D33" s="1595"/>
      <c r="E33" s="1595"/>
      <c r="F33" s="1595"/>
      <c r="G33" s="1595"/>
      <c r="H33" s="1595"/>
      <c r="I33" s="1595"/>
      <c r="J33" s="1595"/>
      <c r="K33" s="1595"/>
      <c r="L33" s="1596"/>
      <c r="M33" s="1595"/>
      <c r="N33" s="1595"/>
      <c r="O33" s="1595"/>
      <c r="S33" s="2379" t="s">
        <v>530</v>
      </c>
      <c r="T33" s="2379"/>
      <c r="U33" s="1599"/>
      <c r="V33" s="2381" t="str">
        <f>IF(TITLE_NUMBER_PR_CHANGE="",IF(TITLE_NUMBER_PR="","",TITLE_NUMBER_PR),TITLE_NUMBER_PR_CHANGE)</f>
        <v>27-2067</v>
      </c>
      <c r="W33" s="2381"/>
      <c r="X33" s="2381"/>
      <c r="Y33" s="2381"/>
      <c r="Z33" s="2381"/>
      <c r="AA33" s="2381"/>
      <c r="AB33" s="2381"/>
      <c r="AC33" s="2381"/>
      <c r="AD33" s="2381"/>
      <c r="AE33" s="2381"/>
      <c r="AF33" s="548"/>
      <c r="AG33" s="2381" t="str">
        <f>IF(TITLE_NUMBER_PR_CHANGE="",IF(TITLE_NUMBER_PR="","",TITLE_NUMBER_PR),TITLE_NUMBER_PR_CHANGE)</f>
        <v>27-2067</v>
      </c>
      <c r="AH33" s="2381"/>
      <c r="AI33" s="2381"/>
      <c r="AJ33" s="2381"/>
      <c r="AK33" s="2381"/>
      <c r="AL33" s="2381"/>
      <c r="AM33" s="2381"/>
      <c r="AN33" s="2381"/>
      <c r="AO33" s="2381"/>
      <c r="AP33" s="2381"/>
      <c r="AQ33" s="548"/>
      <c r="AR33" s="548"/>
      <c r="AS33" s="502"/>
      <c r="AT33" s="590"/>
      <c r="AU33" s="590"/>
      <c r="AV33" s="590"/>
      <c r="AW33" s="590"/>
      <c r="AX33" s="590"/>
    </row>
    <row s="16563" customFormat="1" customHeight="1" ht="0.75">
      <c r="A34" s="1595"/>
      <c r="B34" s="1595"/>
      <c r="C34" s="1595"/>
      <c r="D34" s="1595"/>
      <c r="E34" s="1595"/>
      <c r="F34" s="1595"/>
      <c r="G34" s="1595"/>
      <c r="H34" s="1595"/>
      <c r="I34" s="1595"/>
      <c r="J34" s="1595"/>
      <c r="K34" s="1595"/>
      <c r="L34" s="1596"/>
      <c r="M34" s="1595"/>
      <c r="N34" s="1595"/>
      <c r="O34" s="1595"/>
      <c r="S34" s="545"/>
      <c r="T34" s="545"/>
      <c r="U34" s="1715"/>
      <c r="V34" s="548"/>
      <c r="W34" s="1862"/>
      <c r="X34" s="1862"/>
      <c r="Y34" s="1862"/>
      <c r="Z34" s="1862"/>
      <c r="AA34" s="1862"/>
      <c r="AB34" s="548"/>
      <c r="AC34" s="548"/>
      <c r="AD34" s="548"/>
      <c r="AE34" s="548"/>
      <c r="AF34" s="500" t="s">
        <v>531</v>
      </c>
      <c r="AG34" s="548"/>
      <c r="AH34" s="1862"/>
      <c r="AI34" s="1862"/>
      <c r="AJ34" s="1862"/>
      <c r="AK34" s="1862"/>
      <c r="AL34" s="1862"/>
      <c r="AM34" s="548"/>
      <c r="AN34" s="548"/>
      <c r="AO34" s="548"/>
      <c r="AP34" s="548"/>
      <c r="AQ34" s="500" t="s">
        <v>531</v>
      </c>
      <c r="AT34" s="590"/>
      <c r="AU34" s="590"/>
      <c r="AV34" s="590"/>
      <c r="AW34" s="590"/>
      <c r="AX34" s="590"/>
    </row>
    <row customHeight="1" ht="14.25">
      <c r="Q35" s="598"/>
      <c r="R35" s="598"/>
      <c r="S35" s="1502"/>
      <c r="T35" s="585"/>
      <c r="U35" s="1470"/>
      <c r="V35" s="2405"/>
      <c r="W35" s="2405"/>
      <c r="X35" s="2405"/>
      <c r="Y35" s="2405"/>
      <c r="Z35" s="2405"/>
      <c r="AA35" s="2405"/>
      <c r="AB35" s="2405"/>
      <c r="AC35" s="2405"/>
      <c r="AD35" s="2405"/>
      <c r="AE35" s="2405"/>
      <c r="AF35" s="2405"/>
      <c r="AG35" s="2405"/>
      <c r="AH35" s="2405"/>
      <c r="AI35" s="2405"/>
      <c r="AJ35" s="2405"/>
      <c r="AK35" s="2405"/>
      <c r="AL35" s="2405"/>
      <c r="AM35" s="2405"/>
      <c r="AN35" s="2405"/>
      <c r="AO35" s="2405"/>
      <c r="AP35" s="2405"/>
      <c r="AQ35" s="2405"/>
    </row>
    <row customHeight="1" ht="14.25">
      <c r="Q36" s="598"/>
      <c r="R36" s="598"/>
      <c r="S36" s="2253" t="s">
        <v>406</v>
      </c>
      <c r="T36" s="2253"/>
      <c r="U36" s="2253"/>
      <c r="V36" s="2253"/>
      <c r="W36" s="2253"/>
      <c r="X36" s="2253"/>
      <c r="Y36" s="2253"/>
      <c r="Z36" s="2253"/>
      <c r="AA36" s="2253"/>
      <c r="AB36" s="2253"/>
      <c r="AC36" s="2253"/>
      <c r="AD36" s="2253"/>
      <c r="AE36" s="2253"/>
      <c r="AF36" s="2253"/>
      <c r="AG36" s="2253"/>
      <c r="AH36" s="2253"/>
      <c r="AI36" s="2253"/>
      <c r="AJ36" s="2253"/>
      <c r="AK36" s="2253"/>
      <c r="AL36" s="2253"/>
      <c r="AM36" s="2253"/>
      <c r="AN36" s="2253"/>
      <c r="AO36" s="2253"/>
      <c r="AP36" s="2253"/>
      <c r="AQ36" s="2253"/>
      <c r="AR36" s="2253"/>
      <c r="AS36" s="2253" t="s">
        <v>407</v>
      </c>
    </row>
    <row customHeight="1" ht="14.25">
      <c r="Q37" s="598"/>
      <c r="R37" s="598"/>
      <c r="S37" s="2406" t="s">
        <v>84</v>
      </c>
      <c r="T37" s="2343" t="s">
        <v>532</v>
      </c>
      <c r="U37" s="523"/>
      <c r="V37" s="2407" t="s">
        <v>533</v>
      </c>
      <c r="W37" s="2408"/>
      <c r="X37" s="2408"/>
      <c r="Y37" s="2408"/>
      <c r="Z37" s="2408"/>
      <c r="AA37" s="2408"/>
      <c r="AB37" s="2408"/>
      <c r="AC37" s="2408"/>
      <c r="AD37" s="2408"/>
      <c r="AE37" s="2409"/>
      <c r="AF37" s="2410" t="s">
        <v>534</v>
      </c>
      <c r="AG37" s="2407" t="s">
        <v>533</v>
      </c>
      <c r="AH37" s="2408"/>
      <c r="AI37" s="2408"/>
      <c r="AJ37" s="2408"/>
      <c r="AK37" s="2408"/>
      <c r="AL37" s="2408"/>
      <c r="AM37" s="2408"/>
      <c r="AN37" s="2408"/>
      <c r="AO37" s="2408"/>
      <c r="AP37" s="2409"/>
      <c r="AQ37" s="2410" t="s">
        <v>535</v>
      </c>
      <c r="AR37" s="2413" t="s">
        <v>536</v>
      </c>
      <c r="AS37" s="2253"/>
    </row>
    <row s="16676" customFormat="1" customHeight="1" ht="18.75">
      <c r="A38" s="1593"/>
      <c r="B38" s="1593"/>
      <c r="C38" s="1593"/>
      <c r="D38" s="1593"/>
      <c r="E38" s="1593"/>
      <c r="F38" s="1593"/>
      <c r="G38" s="1593"/>
      <c r="H38" s="1593"/>
      <c r="I38" s="1593"/>
      <c r="J38" s="1593"/>
      <c r="K38" s="1593"/>
      <c r="L38" s="2209"/>
      <c r="M38" s="1589"/>
      <c r="N38" s="1589"/>
      <c r="O38" s="1589"/>
      <c r="P38" s="2210"/>
      <c r="Q38" s="598"/>
      <c r="R38" s="598"/>
      <c r="S38" s="2406"/>
      <c r="T38" s="2343"/>
      <c r="U38" s="1254"/>
      <c r="V38" s="2493" t="s">
        <v>636</v>
      </c>
      <c r="W38" s="2492" t="s">
        <v>637</v>
      </c>
      <c r="X38" s="2492"/>
      <c r="Y38" s="2492"/>
      <c r="Z38" s="2492" t="s">
        <v>638</v>
      </c>
      <c r="AA38" s="2492"/>
      <c r="AB38" s="2492"/>
      <c r="AC38" s="2427" t="s">
        <v>540</v>
      </c>
      <c r="AD38" s="2445"/>
      <c r="AE38" s="2446"/>
      <c r="AF38" s="2411"/>
      <c r="AG38" s="2493" t="s">
        <v>636</v>
      </c>
      <c r="AH38" s="2492" t="s">
        <v>637</v>
      </c>
      <c r="AI38" s="2492"/>
      <c r="AJ38" s="2492"/>
      <c r="AK38" s="2492" t="s">
        <v>638</v>
      </c>
      <c r="AL38" s="2492"/>
      <c r="AM38" s="2492"/>
      <c r="AN38" s="2427" t="s">
        <v>540</v>
      </c>
      <c r="AO38" s="2445"/>
      <c r="AP38" s="2446"/>
      <c r="AQ38" s="2411"/>
      <c r="AR38" s="2414"/>
      <c r="AS38" s="2253"/>
      <c r="AT38" s="1863"/>
      <c r="AU38" s="1863"/>
      <c r="AV38" s="1863"/>
      <c r="AW38" s="1863"/>
      <c r="AX38" s="1863"/>
    </row>
    <row customHeight="1" ht="18.75">
      <c r="Q39" s="598"/>
      <c r="R39" s="598"/>
      <c r="S39" s="2406"/>
      <c r="T39" s="2343"/>
      <c r="U39" s="1254"/>
      <c r="V39" s="2493"/>
      <c r="W39" s="2492" t="s">
        <v>639</v>
      </c>
      <c r="X39" s="2492" t="s">
        <v>640</v>
      </c>
      <c r="Y39" s="2492"/>
      <c r="Z39" s="2492" t="s">
        <v>641</v>
      </c>
      <c r="AA39" s="2492" t="s">
        <v>640</v>
      </c>
      <c r="AB39" s="2492"/>
      <c r="AC39" s="2428"/>
      <c r="AD39" s="2447"/>
      <c r="AE39" s="2448"/>
      <c r="AF39" s="2411"/>
      <c r="AG39" s="2493"/>
      <c r="AH39" s="2492" t="s">
        <v>639</v>
      </c>
      <c r="AI39" s="2492" t="s">
        <v>640</v>
      </c>
      <c r="AJ39" s="2492"/>
      <c r="AK39" s="2492" t="s">
        <v>641</v>
      </c>
      <c r="AL39" s="2492" t="s">
        <v>640</v>
      </c>
      <c r="AM39" s="2492"/>
      <c r="AN39" s="2428"/>
      <c r="AO39" s="2447"/>
      <c r="AP39" s="2448"/>
      <c r="AQ39" s="2411"/>
      <c r="AR39" s="2414"/>
      <c r="AS39" s="2253"/>
    </row>
    <row customHeight="1" ht="59.25">
      <c r="A40" s="1597"/>
      <c r="B40" s="1597" t="s">
        <v>191</v>
      </c>
      <c r="C40" s="1597" t="s">
        <v>192</v>
      </c>
      <c r="D40" s="1597" t="s">
        <v>193</v>
      </c>
      <c r="E40" s="1591" t="s">
        <v>541</v>
      </c>
      <c r="F40" s="1591" t="s">
        <v>542</v>
      </c>
      <c r="G40" s="1591" t="s">
        <v>543</v>
      </c>
      <c r="H40" s="1591"/>
      <c r="I40" s="1591" t="s">
        <v>594</v>
      </c>
      <c r="J40" s="1591" t="s">
        <v>546</v>
      </c>
      <c r="K40" s="1591" t="s">
        <v>595</v>
      </c>
      <c r="L40" s="1591" t="s">
        <v>522</v>
      </c>
      <c r="Q40" s="598"/>
      <c r="R40" s="598"/>
      <c r="S40" s="2406"/>
      <c r="T40" s="2343"/>
      <c r="U40" s="524"/>
      <c r="V40" s="2493"/>
      <c r="W40" s="2492"/>
      <c r="X40" s="2212" t="s">
        <v>642</v>
      </c>
      <c r="Y40" s="2212" t="s">
        <v>643</v>
      </c>
      <c r="Z40" s="2492"/>
      <c r="AA40" s="2212" t="s">
        <v>644</v>
      </c>
      <c r="AB40" s="2212" t="s">
        <v>645</v>
      </c>
      <c r="AC40" s="1716" t="s">
        <v>550</v>
      </c>
      <c r="AD40" s="2402" t="s">
        <v>551</v>
      </c>
      <c r="AE40" s="2403"/>
      <c r="AF40" s="2412"/>
      <c r="AG40" s="2493"/>
      <c r="AH40" s="2492"/>
      <c r="AI40" s="2212" t="s">
        <v>642</v>
      </c>
      <c r="AJ40" s="2212" t="s">
        <v>643</v>
      </c>
      <c r="AK40" s="2492"/>
      <c r="AL40" s="2212" t="s">
        <v>644</v>
      </c>
      <c r="AM40" s="2212" t="s">
        <v>645</v>
      </c>
      <c r="AN40" s="1716" t="s">
        <v>550</v>
      </c>
      <c r="AO40" s="2402" t="s">
        <v>551</v>
      </c>
      <c r="AP40" s="2403"/>
      <c r="AQ40" s="2412"/>
      <c r="AR40" s="2415"/>
      <c r="AS40" s="2253"/>
    </row>
    <row s="16382" customFormat="1" customHeight="1" ht="11.25" hidden="1">
      <c r="A41" s="1597"/>
      <c r="B41" s="1597"/>
      <c r="C41" s="1597"/>
      <c r="D41" s="1597"/>
      <c r="E41" s="1597"/>
      <c r="F41" s="1597"/>
      <c r="G41" s="1597"/>
      <c r="H41" s="1597"/>
      <c r="I41" s="1597"/>
      <c r="J41" s="1597"/>
      <c r="K41" s="1597"/>
      <c r="L41" s="1591"/>
      <c r="M41" s="1589"/>
      <c r="N41" s="1589"/>
      <c r="O41" s="1589"/>
      <c r="P41" s="1472"/>
      <c r="Q41" s="1473"/>
      <c r="R41" s="1480">
        <v>1</v>
      </c>
      <c r="S41" s="1504" t="s">
        <v>168</v>
      </c>
      <c r="T41" s="1481" t="s">
        <v>99</v>
      </c>
      <c r="U41" s="1471" t="str">
        <f>OFFSET(U41,0,-1)</f>
        <v>2</v>
      </c>
      <c r="V41" s="1709">
        <f>OFFSET(V41,0,-1)+1</f>
        <v>3</v>
      </c>
      <c r="W41" s="2208"/>
      <c r="X41" s="2208"/>
      <c r="Y41" s="2208"/>
      <c r="Z41" s="2208"/>
      <c r="AA41" s="2208"/>
      <c r="AB41" s="1709">
        <f>OFFSET(AB41,0,-1)+1</f>
        <v>1</v>
      </c>
      <c r="AC41" s="1709">
        <f>OFFSET(AC41,0,-1)+1</f>
        <v>2</v>
      </c>
      <c r="AD41" s="2404">
        <f>OFFSET(AD41,0,-1)+1</f>
        <v>3</v>
      </c>
      <c r="AE41" s="2404"/>
      <c r="AF41" s="1709">
        <f>OFFSET(AF41,0,-2)+1</f>
        <v>4</v>
      </c>
      <c r="AG41" s="1709">
        <f>OFFSET(AG41,0,-1)+1</f>
        <v>5</v>
      </c>
      <c r="AH41" s="2208"/>
      <c r="AI41" s="2208"/>
      <c r="AJ41" s="2208"/>
      <c r="AK41" s="2208"/>
      <c r="AL41" s="2208"/>
      <c r="AM41" s="1709">
        <f>OFFSET(AM41,0,-1)+1</f>
        <v>1</v>
      </c>
      <c r="AN41" s="1709">
        <f>OFFSET(AN41,0,-1)+1</f>
        <v>2</v>
      </c>
      <c r="AO41" s="2404">
        <f>OFFSET(AO41,0,-1)+1</f>
        <v>3</v>
      </c>
      <c r="AP41" s="2404"/>
      <c r="AQ41" s="1709">
        <f>OFFSET(AQ41,0,-2)+1</f>
        <v>4</v>
      </c>
      <c r="AR41" s="1471">
        <f>OFFSET(AR41,0,-1)</f>
        <v>4</v>
      </c>
      <c r="AS41" s="1709">
        <f>OFFSET(AS41,0,-1)+1</f>
        <v>5</v>
      </c>
      <c r="AT41" s="733"/>
      <c r="AU41" s="733"/>
      <c r="AV41" s="733"/>
      <c r="AW41" s="733"/>
      <c r="AX41" s="733"/>
    </row>
    <row customHeight="1" ht="23.25">
      <c r="A42" s="1590" t="s">
        <v>362</v>
      </c>
      <c r="B42" s="1590"/>
      <c r="C42" s="1590"/>
      <c r="D42" s="1590"/>
      <c r="E42" s="2388">
        <v>1</v>
      </c>
      <c r="F42" s="1590"/>
      <c r="G42" s="1590"/>
      <c r="H42" s="1590"/>
      <c r="I42" s="1590"/>
      <c r="J42" s="1590"/>
      <c r="K42" s="1590"/>
      <c r="L42" s="1591"/>
      <c r="M42" s="1592"/>
      <c r="N42" s="1592"/>
      <c r="O42" s="1592"/>
      <c r="P42" s="583"/>
      <c r="Q42" s="582"/>
      <c r="R42" s="577"/>
      <c r="S42" s="1720">
        <f>INDEX(PT_DIFFERENTIATION_NUM_NTAR,MATCH(A42,PT_DIFFERENTIATION_NTAR_ID,0))</f>
        <v>0</v>
      </c>
      <c r="T42" s="520" t="s">
        <v>179</v>
      </c>
      <c r="U42" s="522"/>
      <c r="V42" s="2382"/>
      <c r="W42" s="2383"/>
      <c r="X42" s="2383"/>
      <c r="Y42" s="2383"/>
      <c r="Z42" s="2383"/>
      <c r="AA42" s="2383"/>
      <c r="AB42" s="2383"/>
      <c r="AC42" s="2383"/>
      <c r="AD42" s="2383"/>
      <c r="AE42" s="2383"/>
      <c r="AF42" s="2384"/>
      <c r="AG42" s="2382" t="str">
        <f>INDEX(PT_DIFFERENTIATION_NTAR,MATCH(A42,PT_DIFFERENTIATION_NTAR_ID,0))</f>
        <v/>
      </c>
      <c r="AH42" s="2383"/>
      <c r="AI42" s="2383"/>
      <c r="AJ42" s="2383"/>
      <c r="AK42" s="2383"/>
      <c r="AL42" s="2383"/>
      <c r="AM42" s="2383"/>
      <c r="AN42" s="2383"/>
      <c r="AO42" s="2383"/>
      <c r="AP42" s="2383"/>
      <c r="AQ42" s="2383"/>
      <c r="AR42" s="2384"/>
      <c r="AS42" s="14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2"/>
      <c r="AV42" s="722" t="str">
        <f>IF(T42="","",T42)</f>
        <v>Наименование тарифа</v>
      </c>
      <c r="AW42" s="722"/>
      <c r="AX42" s="722"/>
    </row>
    <row customHeight="1" ht="23.25">
      <c r="A43" s="1590" t="s">
        <v>362</v>
      </c>
      <c r="B43" s="1590" t="s">
        <v>363</v>
      </c>
      <c r="C43" s="1590"/>
      <c r="D43" s="1590"/>
      <c r="E43" s="2389"/>
      <c r="F43" s="2388">
        <v>1</v>
      </c>
      <c r="G43" s="1590"/>
      <c r="H43" s="1590"/>
      <c r="I43" s="1590"/>
      <c r="J43" s="1590"/>
      <c r="K43" s="1590"/>
      <c r="L43" s="1591"/>
      <c r="M43" s="1592"/>
      <c r="N43" s="1592"/>
      <c r="O43" s="1592"/>
      <c r="P43" s="1714"/>
      <c r="Q43" s="574"/>
      <c r="R43" s="575"/>
      <c r="S43" s="1720" t="str">
        <f>INDEX(PT_DIFFERENTIATION_NUM_TER,MATCH(B43,PT_DIFFERENTIATION_TER_ID,0))</f>
        <v>.</v>
      </c>
      <c r="T43" s="530" t="s">
        <v>503</v>
      </c>
      <c r="U43" s="522"/>
      <c r="V43" s="2382"/>
      <c r="W43" s="2383"/>
      <c r="X43" s="2383"/>
      <c r="Y43" s="2383"/>
      <c r="Z43" s="2383"/>
      <c r="AA43" s="2383"/>
      <c r="AB43" s="2383"/>
      <c r="AC43" s="2383"/>
      <c r="AD43" s="2383"/>
      <c r="AE43" s="2383"/>
      <c r="AF43" s="2384"/>
      <c r="AG43" s="2382" t="str">
        <f>INDEX(PT_DIFFERENTIATION_TER,MATCH(B43,PT_DIFFERENTIATION_TER_ID,0))</f>
        <v/>
      </c>
      <c r="AH43" s="2383"/>
      <c r="AI43" s="2383"/>
      <c r="AJ43" s="2383"/>
      <c r="AK43" s="2383"/>
      <c r="AL43" s="2383"/>
      <c r="AM43" s="2383"/>
      <c r="AN43" s="2383"/>
      <c r="AO43" s="2383"/>
      <c r="AP43" s="2383"/>
      <c r="AQ43" s="2383"/>
      <c r="AR43" s="2384"/>
      <c r="AS43" s="1484" t="s">
        <v>504</v>
      </c>
      <c r="AU43" s="722"/>
      <c r="AV43" s="722" t="str">
        <f>IF(T43="","",T43)</f>
        <v>Территория действия тарифа</v>
      </c>
      <c r="AW43" s="722"/>
      <c r="AX43" s="722"/>
    </row>
    <row customHeight="1" ht="23.25">
      <c r="A44" s="1590" t="s">
        <v>362</v>
      </c>
      <c r="B44" s="1590" t="s">
        <v>363</v>
      </c>
      <c r="C44" s="1590" t="s">
        <v>364</v>
      </c>
      <c r="D44" s="1590"/>
      <c r="E44" s="2389"/>
      <c r="F44" s="2389"/>
      <c r="G44" s="2388">
        <v>1</v>
      </c>
      <c r="H44" s="1590"/>
      <c r="I44" s="1590"/>
      <c r="J44" s="1590"/>
      <c r="K44" s="1590"/>
      <c r="L44" s="1591"/>
      <c r="M44" s="1592"/>
      <c r="N44" s="1592"/>
      <c r="O44" s="1592"/>
      <c r="P44" s="576"/>
      <c r="Q44" s="574"/>
      <c r="R44" s="575"/>
      <c r="S44" s="1720" t="str">
        <f>INDEX(PT_DIFFERENTIATION_NUM_CS,MATCH(C44,PT_DIFFERENTIATION_CS_ID,0))</f>
        <v>..</v>
      </c>
      <c r="T44" s="531" t="s">
        <v>634</v>
      </c>
      <c r="U44" s="522"/>
      <c r="V44" s="2382"/>
      <c r="W44" s="2383"/>
      <c r="X44" s="2383"/>
      <c r="Y44" s="2383"/>
      <c r="Z44" s="2383"/>
      <c r="AA44" s="2383"/>
      <c r="AB44" s="2383"/>
      <c r="AC44" s="2383"/>
      <c r="AD44" s="2383"/>
      <c r="AE44" s="2383"/>
      <c r="AF44" s="2384"/>
      <c r="AG44" s="2382" t="str">
        <f>INDEX(PT_DIFFERENTIATION_CS,MATCH(C44,PT_DIFFERENTIATION_CS_ID,0))</f>
        <v/>
      </c>
      <c r="AH44" s="2383"/>
      <c r="AI44" s="2383"/>
      <c r="AJ44" s="2383"/>
      <c r="AK44" s="2383"/>
      <c r="AL44" s="2383"/>
      <c r="AM44" s="2383"/>
      <c r="AN44" s="2383"/>
      <c r="AO44" s="2383"/>
      <c r="AP44" s="2383"/>
      <c r="AQ44" s="2383"/>
      <c r="AR44" s="2384"/>
      <c r="AS44" s="1484" t="s">
        <v>635</v>
      </c>
      <c r="AU44" s="722"/>
      <c r="AV44" s="722" t="str">
        <f>IF(T44="","",T44)</f>
        <v>Наименование централизованной системы горячего водоснабжения</v>
      </c>
      <c r="AW44" s="722"/>
      <c r="AX44" s="722"/>
    </row>
    <row customHeight="1" ht="23.25">
      <c r="A45" s="1590" t="s">
        <v>362</v>
      </c>
      <c r="B45" s="1590" t="s">
        <v>363</v>
      </c>
      <c r="C45" s="1590" t="s">
        <v>364</v>
      </c>
      <c r="D45" s="1590" t="s">
        <v>649</v>
      </c>
      <c r="E45" s="2389"/>
      <c r="F45" s="2389"/>
      <c r="G45" s="2389"/>
      <c r="H45" s="2389"/>
      <c r="I45" s="2390" t="str">
        <f>S44&amp;".1"</f>
        <v>...1</v>
      </c>
      <c r="J45" s="1590"/>
      <c r="K45" s="1590"/>
      <c r="L45" s="1591"/>
      <c r="P45" s="2392">
        <v>1</v>
      </c>
      <c r="Q45" s="1708"/>
      <c r="R45" s="578"/>
      <c r="S45" s="1720" t="str">
        <f>$I45</f>
        <v>...1</v>
      </c>
      <c r="T45" s="507" t="s">
        <v>587</v>
      </c>
      <c r="U45" s="522"/>
      <c r="V45" s="2475"/>
      <c r="W45" s="2476"/>
      <c r="X45" s="2476"/>
      <c r="Y45" s="2476"/>
      <c r="Z45" s="2476"/>
      <c r="AA45" s="2476"/>
      <c r="AB45" s="2476"/>
      <c r="AC45" s="2476"/>
      <c r="AD45" s="2476"/>
      <c r="AE45" s="2476"/>
      <c r="AF45" s="2477"/>
      <c r="AG45" s="2478"/>
      <c r="AH45" s="2479"/>
      <c r="AI45" s="2479"/>
      <c r="AJ45" s="2479"/>
      <c r="AK45" s="2479"/>
      <c r="AL45" s="2479"/>
      <c r="AM45" s="2479"/>
      <c r="AN45" s="2479"/>
      <c r="AO45" s="2479"/>
      <c r="AP45" s="2479"/>
      <c r="AQ45" s="2479"/>
      <c r="AR45" s="2480"/>
      <c r="AS45" s="1484" t="s">
        <v>588</v>
      </c>
      <c r="AU45" s="722"/>
      <c r="AV45" s="722" t="str">
        <f>IF(T45="","",T45)</f>
        <v>Наименование признака дифференциации</v>
      </c>
      <c r="AW45" s="722"/>
      <c r="AX45" s="722"/>
    </row>
    <row customHeight="1" ht="23.25">
      <c r="A46" s="1590" t="s">
        <v>362</v>
      </c>
      <c r="B46" s="1590" t="s">
        <v>363</v>
      </c>
      <c r="C46" s="1590" t="s">
        <v>364</v>
      </c>
      <c r="D46" s="1590" t="s">
        <v>649</v>
      </c>
      <c r="E46" s="2389"/>
      <c r="F46" s="2389"/>
      <c r="G46" s="2389"/>
      <c r="H46" s="2389"/>
      <c r="I46" s="2391"/>
      <c r="J46" s="2390" t="str">
        <f>I45&amp;".1"</f>
        <v>...1.1</v>
      </c>
      <c r="K46" s="1590"/>
      <c r="L46" s="1591" t="s">
        <v>512</v>
      </c>
      <c r="P46" s="2392"/>
      <c r="Q46" s="2392">
        <v>1</v>
      </c>
      <c r="R46" s="579"/>
      <c r="S46" s="1720" t="str">
        <f>$J46</f>
        <v>...1.1</v>
      </c>
      <c r="T46" s="508" t="s">
        <v>513</v>
      </c>
      <c r="U46" s="522"/>
      <c r="V46" s="2376"/>
      <c r="W46" s="2377"/>
      <c r="X46" s="2377"/>
      <c r="Y46" s="2377"/>
      <c r="Z46" s="2377"/>
      <c r="AA46" s="2377"/>
      <c r="AB46" s="2377"/>
      <c r="AC46" s="2377"/>
      <c r="AD46" s="2377"/>
      <c r="AE46" s="2377"/>
      <c r="AF46" s="2378"/>
      <c r="AG46" s="2376"/>
      <c r="AH46" s="2377"/>
      <c r="AI46" s="2377"/>
      <c r="AJ46" s="2377"/>
      <c r="AK46" s="2377"/>
      <c r="AL46" s="2377"/>
      <c r="AM46" s="2377"/>
      <c r="AN46" s="2377"/>
      <c r="AO46" s="2377"/>
      <c r="AP46" s="2377"/>
      <c r="AQ46" s="2377"/>
      <c r="AR46" s="2378"/>
      <c r="AS46" s="1534" t="s">
        <v>589</v>
      </c>
      <c r="AU46" s="722"/>
      <c r="AV46" s="722" t="str">
        <f>IF(T46="","",T46)</f>
        <v>Группа потребителей</v>
      </c>
      <c r="AW46" s="722"/>
      <c r="AX46" s="722"/>
    </row>
    <row customHeight="1" ht="23.25">
      <c r="A47" s="1590" t="s">
        <v>362</v>
      </c>
      <c r="B47" s="1590" t="s">
        <v>363</v>
      </c>
      <c r="C47" s="1590" t="s">
        <v>364</v>
      </c>
      <c r="D47" s="1590" t="s">
        <v>649</v>
      </c>
      <c r="E47" s="2389"/>
      <c r="F47" s="2389"/>
      <c r="G47" s="2389"/>
      <c r="H47" s="2389"/>
      <c r="I47" s="2391"/>
      <c r="J47" s="2391"/>
      <c r="K47" s="2390" t="str">
        <f>J46&amp;".1"</f>
        <v>...1.1.1</v>
      </c>
      <c r="L47" s="1591"/>
      <c r="P47" s="2392"/>
      <c r="Q47" s="2392"/>
      <c r="R47" s="579">
        <v>1</v>
      </c>
      <c r="S47" s="1720" t="str">
        <f>$K47</f>
        <v>...1.1.1</v>
      </c>
      <c r="T47" s="1664"/>
      <c r="U47" s="522"/>
      <c r="V47" s="1587"/>
      <c r="W47" s="1587"/>
      <c r="X47" s="1587"/>
      <c r="Y47" s="1587"/>
      <c r="Z47" s="1587"/>
      <c r="AA47" s="1587"/>
      <c r="AB47" s="1588"/>
      <c r="AC47" s="2386"/>
      <c r="AD47" s="2385" t="s">
        <v>63</v>
      </c>
      <c r="AE47" s="2386"/>
      <c r="AF47" s="2385" t="s">
        <v>63</v>
      </c>
      <c r="AG47" s="973"/>
      <c r="AH47" s="973"/>
      <c r="AI47" s="973"/>
      <c r="AJ47" s="973"/>
      <c r="AK47" s="973"/>
      <c r="AL47" s="973"/>
      <c r="AM47" s="1483"/>
      <c r="AN47" s="2393"/>
      <c r="AO47" s="2263" t="s">
        <v>63</v>
      </c>
      <c r="AP47" s="2395"/>
      <c r="AQ47" s="2263" t="s">
        <v>53</v>
      </c>
      <c r="AR47" s="1665"/>
      <c r="AS47" s="24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3">
        <f>STRCHECKDATE(V48:AR48)</f>
      </c>
      <c r="AU47" s="722"/>
      <c r="AV47" s="722" t="str">
        <f>IF(T47="","",T47)</f>
        <v/>
      </c>
      <c r="AW47" s="722"/>
      <c r="AX47" s="722"/>
    </row>
    <row customHeight="1" ht="0">
      <c r="A48" s="1590" t="s">
        <v>362</v>
      </c>
      <c r="B48" s="1590" t="s">
        <v>363</v>
      </c>
      <c r="C48" s="1590" t="s">
        <v>364</v>
      </c>
      <c r="D48" s="1590" t="s">
        <v>649</v>
      </c>
      <c r="E48" s="2389"/>
      <c r="F48" s="2389"/>
      <c r="G48" s="2389"/>
      <c r="H48" s="2389"/>
      <c r="I48" s="2391"/>
      <c r="J48" s="2391"/>
      <c r="K48" s="2390"/>
      <c r="L48" s="1591"/>
      <c r="P48" s="2392"/>
      <c r="Q48" s="2392"/>
      <c r="R48" s="579"/>
      <c r="S48" s="1717"/>
      <c r="T48" s="522"/>
      <c r="U48" s="522"/>
      <c r="V48" s="1587"/>
      <c r="W48" s="1587"/>
      <c r="X48" s="1587"/>
      <c r="Y48" s="1587"/>
      <c r="Z48" s="1587"/>
      <c r="AA48" s="1587"/>
      <c r="AB48" s="550" t="str">
        <f>AC47&amp;"-"&amp;AE47</f>
        <v>-</v>
      </c>
      <c r="AC48" s="2385"/>
      <c r="AD48" s="2385"/>
      <c r="AE48" s="2385"/>
      <c r="AF48" s="2385"/>
      <c r="AG48" s="547"/>
      <c r="AH48" s="547"/>
      <c r="AI48" s="547"/>
      <c r="AJ48" s="547"/>
      <c r="AK48" s="547"/>
      <c r="AL48" s="547"/>
      <c r="AM48" s="550" t="str">
        <f>AN47&amp;"-"&amp;AP47</f>
        <v>-</v>
      </c>
      <c r="AN48" s="2394"/>
      <c r="AO48" s="2263"/>
      <c r="AP48" s="2396"/>
      <c r="AQ48" s="2263"/>
      <c r="AR48" s="1666"/>
      <c r="AS48" s="2481"/>
      <c r="AU48" s="722"/>
      <c r="AV48" s="722" t="str">
        <f>IF(T48="","",T48)</f>
        <v/>
      </c>
      <c r="AW48" s="722"/>
      <c r="AX48" s="722"/>
    </row>
    <row customHeight="1" ht="21">
      <c r="A49" s="1590" t="s">
        <v>362</v>
      </c>
      <c r="B49" s="1590" t="s">
        <v>363</v>
      </c>
      <c r="C49" s="1590" t="s">
        <v>364</v>
      </c>
      <c r="D49" s="1590" t="s">
        <v>649</v>
      </c>
      <c r="E49" s="2389"/>
      <c r="F49" s="2389"/>
      <c r="G49" s="2389"/>
      <c r="H49" s="2389"/>
      <c r="I49" s="2391"/>
      <c r="J49" s="2390"/>
      <c r="K49" s="1590"/>
      <c r="L49" s="1591"/>
      <c r="P49" s="2392"/>
      <c r="Q49" s="2392"/>
      <c r="R49" s="578"/>
      <c r="S49" s="1505"/>
      <c r="T49" s="509" t="s">
        <v>590</v>
      </c>
      <c r="U49" s="589"/>
      <c r="V49" s="589"/>
      <c r="W49" s="822"/>
      <c r="X49" s="822"/>
      <c r="Y49" s="822"/>
      <c r="Z49" s="822"/>
      <c r="AA49" s="822"/>
      <c r="AB49" s="589"/>
      <c r="AC49" s="589"/>
      <c r="AD49" s="589"/>
      <c r="AE49" s="589"/>
      <c r="AF49" s="589"/>
      <c r="AG49" s="589"/>
      <c r="AH49" s="822"/>
      <c r="AI49" s="822"/>
      <c r="AJ49" s="822"/>
      <c r="AK49" s="822"/>
      <c r="AL49" s="822"/>
      <c r="AM49" s="589"/>
      <c r="AN49" s="589"/>
      <c r="AO49" s="589"/>
      <c r="AP49" s="589"/>
      <c r="AQ49" s="589"/>
      <c r="AR49" s="589"/>
      <c r="AS49" s="1484" t="s">
        <v>591</v>
      </c>
      <c r="AU49" s="722"/>
      <c r="AV49" s="722" t="str">
        <f>IF(T49="","",T49)</f>
        <v>Добавить значение признака дифференциации</v>
      </c>
      <c r="AW49" s="722"/>
      <c r="AX49" s="722"/>
    </row>
    <row customHeight="1" ht="21">
      <c r="A50" s="1590" t="s">
        <v>362</v>
      </c>
      <c r="B50" s="1590" t="s">
        <v>363</v>
      </c>
      <c r="C50" s="1590" t="s">
        <v>364</v>
      </c>
      <c r="D50" s="1590" t="s">
        <v>649</v>
      </c>
      <c r="E50" s="2389"/>
      <c r="F50" s="2389"/>
      <c r="G50" s="2389"/>
      <c r="H50" s="2389"/>
      <c r="I50" s="2390"/>
      <c r="J50" s="1590"/>
      <c r="K50" s="1590"/>
      <c r="L50" s="1591"/>
      <c r="P50" s="2392"/>
      <c r="Q50" s="1708"/>
      <c r="R50" s="578"/>
      <c r="S50" s="1505"/>
      <c r="T50" s="587" t="s">
        <v>518</v>
      </c>
      <c r="U50" s="589"/>
      <c r="V50" s="589"/>
      <c r="W50" s="822"/>
      <c r="X50" s="822"/>
      <c r="Y50" s="822"/>
      <c r="Z50" s="822"/>
      <c r="AA50" s="822"/>
      <c r="AB50" s="589"/>
      <c r="AC50" s="589"/>
      <c r="AD50" s="589"/>
      <c r="AE50" s="589"/>
      <c r="AF50" s="588"/>
      <c r="AG50" s="589"/>
      <c r="AH50" s="822"/>
      <c r="AI50" s="822"/>
      <c r="AJ50" s="822"/>
      <c r="AK50" s="822"/>
      <c r="AL50" s="822"/>
      <c r="AM50" s="589"/>
      <c r="AN50" s="589"/>
      <c r="AO50" s="589"/>
      <c r="AP50" s="589"/>
      <c r="AQ50" s="588"/>
      <c r="AR50" s="589"/>
      <c r="AS50" s="1667"/>
      <c r="AU50" s="722"/>
      <c r="AV50" s="722" t="str">
        <f>IF(T50="","",T50)</f>
        <v>Добавить группу потребителей</v>
      </c>
      <c r="AW50" s="722"/>
      <c r="AX50" s="722"/>
    </row>
    <row customHeight="1" ht="21">
      <c r="A51" s="1590" t="s">
        <v>362</v>
      </c>
      <c r="B51" s="1590" t="s">
        <v>363</v>
      </c>
      <c r="C51" s="1590" t="s">
        <v>364</v>
      </c>
      <c r="D51" s="1590" t="s">
        <v>649</v>
      </c>
      <c r="E51" s="2389"/>
      <c r="F51" s="2389"/>
      <c r="G51" s="2389"/>
      <c r="H51" s="2388"/>
      <c r="I51" s="1590"/>
      <c r="J51" s="1590"/>
      <c r="K51" s="1590"/>
      <c r="L51" s="1591"/>
      <c r="M51" s="1592"/>
      <c r="N51" s="1592"/>
      <c r="O51" s="759"/>
      <c r="P51" s="582"/>
      <c r="Q51" s="597"/>
      <c r="R51" s="577"/>
      <c r="S51" s="1505"/>
      <c r="T51" s="594" t="s">
        <v>592</v>
      </c>
      <c r="U51" s="589"/>
      <c r="V51" s="589"/>
      <c r="W51" s="822"/>
      <c r="X51" s="822"/>
      <c r="Y51" s="822"/>
      <c r="Z51" s="822"/>
      <c r="AA51" s="822"/>
      <c r="AB51" s="589"/>
      <c r="AC51" s="589"/>
      <c r="AD51" s="589"/>
      <c r="AE51" s="589"/>
      <c r="AF51" s="588"/>
      <c r="AG51" s="589"/>
      <c r="AH51" s="822"/>
      <c r="AI51" s="822"/>
      <c r="AJ51" s="822"/>
      <c r="AK51" s="822"/>
      <c r="AL51" s="822"/>
      <c r="AM51" s="589"/>
      <c r="AN51" s="589"/>
      <c r="AO51" s="589"/>
      <c r="AP51" s="589"/>
      <c r="AQ51" s="588"/>
      <c r="AR51" s="589"/>
      <c r="AS51" s="525"/>
      <c r="AU51" s="722"/>
      <c r="AV51" s="722" t="str">
        <f>IF(T51="","",T51)</f>
        <v>Добавить наименование признака дифференциации</v>
      </c>
      <c r="AW51" s="722"/>
      <c r="AX51" s="722"/>
    </row>
    <row s="16531" customFormat="1" customHeight="1" ht="0">
      <c r="A52" s="1570" t="s">
        <v>362</v>
      </c>
      <c r="B52" s="1570" t="s">
        <v>363</v>
      </c>
      <c r="C52" s="1541"/>
      <c r="D52" s="1541"/>
      <c r="E52" s="2389"/>
      <c r="F52" s="2388"/>
      <c r="G52" s="1541"/>
      <c r="H52" s="1541"/>
      <c r="I52" s="1541"/>
      <c r="J52" s="1541"/>
      <c r="K52" s="1541"/>
      <c r="L52" s="1721"/>
      <c r="M52" s="1548"/>
      <c r="N52" s="1548"/>
      <c r="P52" s="1543"/>
      <c r="Q52" s="1544"/>
      <c r="R52" s="1543"/>
      <c r="S52" s="1549"/>
      <c r="T52" s="1552" t="s">
        <v>305</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1"/>
      <c r="AV52" s="1011" t="str">
        <f>IF(T52="","",T52)</f>
        <v>Добавить централизованную систему для дифференциации</v>
      </c>
      <c r="AW52" s="1011"/>
      <c r="AX52" s="1011"/>
    </row>
    <row s="16622" customFormat="1" customHeight="1" ht="0">
      <c r="A53" s="1570" t="s">
        <v>362</v>
      </c>
      <c r="B53" s="1570"/>
      <c r="C53" s="1570"/>
      <c r="D53" s="1570"/>
      <c r="E53" s="2388"/>
      <c r="F53" s="1570"/>
      <c r="G53" s="1570"/>
      <c r="H53" s="1570"/>
      <c r="I53" s="1570"/>
      <c r="J53" s="1570"/>
      <c r="K53" s="1570"/>
      <c r="L53" s="1573"/>
      <c r="M53" s="1548"/>
      <c r="N53" s="1548"/>
      <c r="O53" s="740"/>
      <c r="P53" s="602"/>
      <c r="Q53" s="1571"/>
      <c r="R53" s="602"/>
      <c r="S53" s="1549"/>
      <c r="T53" s="1552" t="s">
        <v>358</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2"/>
      <c r="AV53" s="722" t="str">
        <f>IF(T53="","",T53)</f>
        <v>Добавить территорию для дифференциации</v>
      </c>
      <c r="AW53" s="722"/>
      <c r="AX53" s="722"/>
    </row>
    <row s="16531"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359</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1"/>
      <c r="AV54" s="1011" t="str">
        <f>IF(T54="","",T54)</f>
        <v>Добавить наименование тарифа</v>
      </c>
      <c r="AW54" s="1011"/>
      <c r="AX54" s="1011"/>
    </row>
    <row customHeight="1" ht="11.25">
      <c r="M55" s="1384"/>
      <c r="N55" s="1384"/>
      <c r="O55" s="759"/>
      <c r="P55" s="1379"/>
      <c r="Q55" s="1379"/>
      <c r="R55" s="1379"/>
      <c r="S55" s="1379"/>
      <c r="AT55" s="1379"/>
      <c r="AU55" s="1379"/>
      <c r="AV55" s="1379"/>
      <c r="AW55" s="1379"/>
      <c r="AX55" s="1379"/>
    </row>
    <row customHeight="1" ht="14.25">
      <c r="O56" s="759"/>
      <c r="S56" s="1479"/>
      <c r="T56" s="2387"/>
      <c r="U56" s="2387"/>
      <c r="V56" s="2387"/>
      <c r="W56" s="2387"/>
      <c r="X56" s="2387"/>
      <c r="Y56" s="2387"/>
      <c r="Z56" s="2387"/>
      <c r="AA56" s="2387"/>
      <c r="AB56" s="2387"/>
      <c r="AC56" s="2387"/>
      <c r="AD56" s="2387"/>
      <c r="AE56" s="2387"/>
      <c r="AF56" s="2387"/>
      <c r="AG56" s="2387"/>
      <c r="AH56" s="2387"/>
      <c r="AI56" s="2387"/>
      <c r="AJ56" s="2387"/>
      <c r="AK56" s="2387"/>
      <c r="AL56" s="2387"/>
      <c r="AM56" s="2387"/>
      <c r="AN56" s="2387"/>
      <c r="AO56" s="2387"/>
      <c r="AP56" s="2387"/>
      <c r="AQ56" s="2387"/>
      <c r="AR56" s="2387"/>
      <c r="AS56" s="2387"/>
    </row>
    <row customHeight="1" ht="14.25">
      <c r="O57" s="759"/>
    </row>
    <row customHeight="1" ht="14.25">
      <c r="O58" s="759"/>
      <c r="S58" s="1479"/>
      <c r="T58" s="2387"/>
      <c r="U58" s="2387"/>
      <c r="V58" s="2387"/>
      <c r="W58" s="2387"/>
      <c r="X58" s="2387"/>
      <c r="Y58" s="2387"/>
      <c r="Z58" s="2387"/>
      <c r="AA58" s="2387"/>
      <c r="AB58" s="2387"/>
      <c r="AC58" s="2387"/>
      <c r="AD58" s="2387"/>
      <c r="AE58" s="2387"/>
      <c r="AF58" s="2387"/>
      <c r="AG58" s="2387"/>
      <c r="AH58" s="2387"/>
      <c r="AI58" s="2387"/>
      <c r="AJ58" s="2387"/>
      <c r="AK58" s="2387"/>
      <c r="AL58" s="2387"/>
      <c r="AM58" s="2387"/>
      <c r="AN58" s="2387"/>
      <c r="AO58" s="2387"/>
      <c r="AP58" s="2387"/>
      <c r="AQ58" s="2387"/>
      <c r="AR58" s="2387"/>
      <c r="AS58" s="2387"/>
    </row>
  </sheetData>
  <sheetProtection formatColumns="0" formatRows="0" autoFilter="0" sort="0" insertRows="0" insertColumns="1" deleteRows="0" deleteColumns="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2AACCD-24CF-DD41-6B0C-E1316BAAD2F1}" mc:Ignorable="x14ac xr xr2 xr3">
  <sheetPr>
    <tabColor theme="6" tint="0.4"/>
  </sheetPr>
  <dimension ref="A1:BH68"/>
  <sheetViews>
    <sheetView topLeftCell="A1" showGridLines="0" zoomScale="90" workbookViewId="0">
      <selection activeCell="AG52" sqref="AG52:AG55"/>
    </sheetView>
  </sheetViews>
  <sheetFormatPr defaultColWidth="10.57421875" customHeight="1" defaultRowHeight="14.25"/>
  <cols>
    <col min="1" max="1" style="16550" width="11.57421875" hidden="1" customWidth="1"/>
    <col min="2" max="2" style="16550" width="11.00390625" hidden="1" customWidth="1"/>
    <col min="3" max="3" style="16550" width="10.57421875" hidden="1"/>
    <col min="4" max="4" style="16550" width="12.8515625" hidden="1" customWidth="1"/>
    <col min="5" max="5" style="16550" width="10.00390625" hidden="1" customWidth="1"/>
    <col min="6" max="6" style="16550" width="8.7109375" hidden="1" customWidth="1"/>
    <col min="7" max="7" style="16550" width="7.57421875" hidden="1" customWidth="1"/>
    <col min="8" max="8" style="16550" width="11.421875" hidden="1" customWidth="1"/>
    <col min="9" max="9" style="16550" width="12.00390625" hidden="1" customWidth="1"/>
    <col min="10" max="10" style="16550" width="9.8515625" hidden="1" customWidth="1"/>
    <col min="11" max="11" style="16550" width="11.421875" hidden="1" customWidth="1"/>
    <col min="12" max="12" style="16899" width="19.140625" hidden="1" customWidth="1"/>
    <col min="13" max="14" style="16631" width="12.28125" hidden="1" customWidth="1"/>
    <col min="15" max="15" style="16631" width="23.421875" hidden="1" customWidth="1"/>
    <col min="16" max="16" style="16631" width="3.7109375" hidden="1" customWidth="1"/>
    <col min="17" max="17" style="16803" width="3.7109375" hidden="1" customWidth="1"/>
    <col min="18" max="18" style="16633" width="3.7109375" customWidth="1"/>
    <col min="19" max="19" style="16634" width="12.7109375" customWidth="1"/>
    <col min="20" max="20" style="16635" width="32.00390625" customWidth="1"/>
    <col min="21" max="21" style="16635" width="0.140625" customWidth="1"/>
    <col min="22" max="25" style="16635" width="21.7109375" hidden="1" customWidth="1"/>
    <col min="26" max="26" style="16635" width="11.7109375" hidden="1" customWidth="1"/>
    <col min="27" max="27" style="16635" width="3.7109375" hidden="1" customWidth="1"/>
    <col min="28" max="28" style="16635" width="11.7109375" hidden="1" customWidth="1"/>
    <col min="29" max="29" style="16635" width="8.57421875" hidden="1" customWidth="1"/>
    <col min="30" max="32" style="16635" width="3.7109375" customWidth="1"/>
    <col min="33" max="33" style="16635" width="24.7109375" customWidth="1"/>
    <col min="34" max="36" style="16635" width="3.7109375" customWidth="1"/>
    <col min="37" max="37" style="16635" width="24.7109375" customWidth="1"/>
    <col min="38" max="40" style="16635" width="3.7109375" customWidth="1"/>
    <col min="41" max="41" style="16635" width="18.8515625" customWidth="1"/>
    <col min="42" max="44" style="16635" width="3.7109375" customWidth="1"/>
    <col min="45" max="45" style="16635" width="18.8515625" customWidth="1"/>
    <col min="46" max="49" style="16635" width="21.7109375" customWidth="1"/>
    <col min="50" max="50" style="16635" width="11.7109375" customWidth="1"/>
    <col min="51" max="51" style="16635" width="3.7109375" customWidth="1"/>
    <col min="52" max="52" style="16635" width="11.7109375" customWidth="1"/>
    <col min="53" max="53" style="16635" width="8.57421875" hidden="1" customWidth="1"/>
    <col min="54" max="54" style="16635" width="4.7109375" customWidth="1"/>
    <col min="55" max="55" style="16635" width="115.7109375" customWidth="1"/>
    <col min="56" max="57" style="16622" width="10.57421875"/>
    <col min="58" max="58" style="16622" width="11.140625" customWidth="1"/>
    <col min="59" max="60" style="16622" width="10.57421875"/>
  </cols>
  <sheetData>
    <row customHeight="1" ht="14.25" hidden="1">
      <c r="W1" s="549"/>
      <c r="Y1" s="549"/>
      <c r="Z1" s="549"/>
      <c r="AW1" s="549"/>
      <c r="AX1" s="549"/>
    </row>
    <row customHeight="1" ht="21" hidden="1">
      <c r="A2" s="1590"/>
      <c r="B2" s="1590"/>
      <c r="C2" s="1590"/>
      <c r="D2" s="1590"/>
      <c r="E2" s="2388">
        <v>1</v>
      </c>
      <c r="F2" s="1590"/>
      <c r="G2" s="1590"/>
      <c r="H2" s="1590"/>
      <c r="I2" s="1590"/>
      <c r="J2" s="1590"/>
      <c r="K2" s="1590"/>
      <c r="L2" s="1591"/>
      <c r="M2" s="1592"/>
      <c r="N2" s="1592"/>
      <c r="O2" s="1592"/>
      <c r="P2" s="1636"/>
      <c r="Q2" s="1095"/>
      <c r="R2" s="577"/>
      <c r="S2" s="1720">
        <f>INDEX(PT_DIFFERENTIATION_NUM_NTAR,MATCH(A2,PT_DIFFERENTIATION_NTAR_ID,0))</f>
      </c>
      <c r="T2" s="520" t="s">
        <v>179</v>
      </c>
      <c r="U2" s="522"/>
      <c r="V2" s="2383"/>
      <c r="W2" s="2383"/>
      <c r="X2" s="2383"/>
      <c r="Y2" s="2383"/>
      <c r="Z2" s="2383"/>
      <c r="AA2" s="2383"/>
      <c r="AB2" s="2383"/>
      <c r="AC2" s="2384"/>
      <c r="AD2" s="2382">
        <f>INDEX(PT_DIFFERENTIATION_NTAR,MATCH(A2,PT_DIFFERENTIATION_NTAR_ID,0))</f>
      </c>
      <c r="AE2" s="2383"/>
      <c r="AF2" s="2383"/>
      <c r="AG2" s="2383"/>
      <c r="AH2" s="2383"/>
      <c r="AI2" s="2383"/>
      <c r="AJ2" s="2383"/>
      <c r="AK2" s="2383"/>
      <c r="AL2" s="2383"/>
      <c r="AM2" s="2383"/>
      <c r="AN2" s="2383"/>
      <c r="AO2" s="2383"/>
      <c r="AP2" s="2383"/>
      <c r="AQ2" s="2383"/>
      <c r="AR2" s="2383"/>
      <c r="AS2" s="2383"/>
      <c r="AT2" s="2383"/>
      <c r="AU2" s="2383"/>
      <c r="AV2" s="2383"/>
      <c r="AW2" s="2383"/>
      <c r="AX2" s="2383"/>
      <c r="AY2" s="2383"/>
      <c r="AZ2" s="2383"/>
      <c r="BA2" s="2383"/>
      <c r="BB2" s="2384"/>
      <c r="BC2" s="14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2"/>
      <c r="BF2" s="722" t="str">
        <f>IF(T2="","",T2)</f>
        <v>Наименование тарифа</v>
      </c>
      <c r="BG2" s="722"/>
      <c r="BH2" s="722"/>
    </row>
    <row customHeight="1" ht="21" hidden="1">
      <c r="A3" s="1590"/>
      <c r="B3" s="1590"/>
      <c r="C3" s="1590"/>
      <c r="D3" s="1590"/>
      <c r="E3" s="2389"/>
      <c r="F3" s="2388">
        <v>1</v>
      </c>
      <c r="G3" s="1590"/>
      <c r="H3" s="1590"/>
      <c r="I3" s="1590"/>
      <c r="J3" s="1590"/>
      <c r="K3" s="1590"/>
      <c r="L3" s="1591"/>
      <c r="M3" s="1592"/>
      <c r="N3" s="1592"/>
      <c r="O3" s="1592"/>
      <c r="P3" s="1637"/>
      <c r="Q3" s="1638"/>
      <c r="R3" s="575"/>
      <c r="S3" s="1720">
        <f>INDEX(PT_DIFFERENTIATION_NUM_TER,MATCH(B3,PT_DIFFERENTIATION_TER_ID,0))</f>
      </c>
      <c r="T3" s="530" t="s">
        <v>503</v>
      </c>
      <c r="U3" s="522"/>
      <c r="V3" s="2383"/>
      <c r="W3" s="2383"/>
      <c r="X3" s="2383"/>
      <c r="Y3" s="2383"/>
      <c r="Z3" s="2383"/>
      <c r="AA3" s="2383"/>
      <c r="AB3" s="2383"/>
      <c r="AC3" s="2384"/>
      <c r="AD3" s="2382">
        <f>INDEX(PT_DIFFERENTIATION_TER,MATCH(B3,PT_DIFFERENTIATION_TER_ID,0))</f>
      </c>
      <c r="AE3" s="2383"/>
      <c r="AF3" s="2383"/>
      <c r="AG3" s="2383"/>
      <c r="AH3" s="2383"/>
      <c r="AI3" s="2383"/>
      <c r="AJ3" s="2383"/>
      <c r="AK3" s="2383"/>
      <c r="AL3" s="2383"/>
      <c r="AM3" s="2383"/>
      <c r="AN3" s="2383"/>
      <c r="AO3" s="2383"/>
      <c r="AP3" s="2383"/>
      <c r="AQ3" s="2383"/>
      <c r="AR3" s="2383"/>
      <c r="AS3" s="2383"/>
      <c r="AT3" s="2383"/>
      <c r="AU3" s="2383"/>
      <c r="AV3" s="2383"/>
      <c r="AW3" s="2383"/>
      <c r="AX3" s="2383"/>
      <c r="AY3" s="2383"/>
      <c r="AZ3" s="2383"/>
      <c r="BA3" s="2383"/>
      <c r="BB3" s="2384"/>
      <c r="BC3" s="1484" t="s">
        <v>504</v>
      </c>
      <c r="BE3" s="722"/>
      <c r="BF3" s="722" t="str">
        <f>IF(T3="","",T3)</f>
        <v>Территория действия тарифа</v>
      </c>
      <c r="BG3" s="722"/>
      <c r="BH3" s="722"/>
    </row>
    <row customHeight="1" ht="33.75" hidden="1">
      <c r="A4" s="1590"/>
      <c r="B4" s="1590"/>
      <c r="C4" s="1590"/>
      <c r="D4" s="1590"/>
      <c r="E4" s="2389"/>
      <c r="F4" s="2389"/>
      <c r="G4" s="2388">
        <v>1</v>
      </c>
      <c r="H4" s="1590"/>
      <c r="I4" s="1590"/>
      <c r="J4" s="1590"/>
      <c r="K4" s="1590"/>
      <c r="L4" s="1591"/>
      <c r="M4" s="1592"/>
      <c r="N4" s="1592"/>
      <c r="O4" s="1592"/>
      <c r="P4" s="1639"/>
      <c r="Q4" s="1638"/>
      <c r="R4" s="575"/>
      <c r="S4" s="1720">
        <f>INDEX(PT_DIFFERENTIATION_NUM_CS,MATCH(C4,PT_DIFFERENTIATION_CS_ID,0))</f>
      </c>
      <c r="T4" s="531" t="s">
        <v>634</v>
      </c>
      <c r="U4" s="522"/>
      <c r="V4" s="2383"/>
      <c r="W4" s="2383"/>
      <c r="X4" s="2383"/>
      <c r="Y4" s="2383"/>
      <c r="Z4" s="2383"/>
      <c r="AA4" s="2383"/>
      <c r="AB4" s="2383"/>
      <c r="AC4" s="2384"/>
      <c r="AD4" s="2382">
        <f>INDEX(PT_DIFFERENTIATION_CS,MATCH(C4,PT_DIFFERENTIATION_CS_ID,0))</f>
      </c>
      <c r="AE4" s="2383"/>
      <c r="AF4" s="2383"/>
      <c r="AG4" s="2383"/>
      <c r="AH4" s="2383"/>
      <c r="AI4" s="2383"/>
      <c r="AJ4" s="2383"/>
      <c r="AK4" s="2383"/>
      <c r="AL4" s="2383"/>
      <c r="AM4" s="2383"/>
      <c r="AN4" s="2383"/>
      <c r="AO4" s="2383"/>
      <c r="AP4" s="2383"/>
      <c r="AQ4" s="2383"/>
      <c r="AR4" s="2383"/>
      <c r="AS4" s="2383"/>
      <c r="AT4" s="2383"/>
      <c r="AU4" s="2383"/>
      <c r="AV4" s="2383"/>
      <c r="AW4" s="2383"/>
      <c r="AX4" s="2383"/>
      <c r="AY4" s="2383"/>
      <c r="AZ4" s="2383"/>
      <c r="BA4" s="2383"/>
      <c r="BB4" s="2384"/>
      <c r="BC4" s="1484" t="s">
        <v>635</v>
      </c>
      <c r="BE4" s="722"/>
      <c r="BF4" s="722" t="str">
        <f>IF(T4="","",T4)</f>
        <v>Наименование централизованной системы горячего водоснабжения</v>
      </c>
      <c r="BG4" s="722"/>
      <c r="BH4" s="722"/>
    </row>
    <row s="16622" customFormat="1" customHeight="1" ht="14.25" hidden="1">
      <c r="A5" s="1570"/>
      <c r="B5" s="1570"/>
      <c r="C5" s="1570"/>
      <c r="D5" s="1570"/>
      <c r="E5" s="2389"/>
      <c r="F5" s="2389"/>
      <c r="G5" s="2389"/>
      <c r="H5" s="2388">
        <v>1</v>
      </c>
      <c r="I5" s="1570"/>
      <c r="J5" s="1570"/>
      <c r="K5" s="1570"/>
      <c r="L5" s="1573"/>
      <c r="M5" s="1542"/>
      <c r="N5" s="1542"/>
      <c r="O5" s="1542"/>
      <c r="P5" s="1724"/>
      <c r="Q5" s="1725"/>
      <c r="R5" s="579"/>
      <c r="S5" s="1265"/>
      <c r="T5" s="1726"/>
      <c r="U5" s="1611"/>
      <c r="V5" s="2431"/>
      <c r="W5" s="2431"/>
      <c r="X5" s="2431"/>
      <c r="Y5" s="2431"/>
      <c r="Z5" s="2431"/>
      <c r="AA5" s="2431"/>
      <c r="AB5" s="2431"/>
      <c r="AC5" s="2432"/>
      <c r="AD5" s="2430"/>
      <c r="AE5" s="2431"/>
      <c r="AF5" s="2431"/>
      <c r="AG5" s="2431"/>
      <c r="AH5" s="2431"/>
      <c r="AI5" s="2431"/>
      <c r="AJ5" s="2431"/>
      <c r="AK5" s="2431"/>
      <c r="AL5" s="2431"/>
      <c r="AM5" s="2431"/>
      <c r="AN5" s="2431"/>
      <c r="AO5" s="2431"/>
      <c r="AP5" s="2431"/>
      <c r="AQ5" s="2431"/>
      <c r="AR5" s="2431"/>
      <c r="AS5" s="2431"/>
      <c r="AT5" s="2431"/>
      <c r="AU5" s="2431"/>
      <c r="AV5" s="2431"/>
      <c r="AW5" s="2431"/>
      <c r="AX5" s="2431"/>
      <c r="AY5" s="2431"/>
      <c r="AZ5" s="2431"/>
      <c r="BA5" s="2431"/>
      <c r="BB5" s="2432"/>
      <c r="BC5" s="1612" t="s">
        <v>508</v>
      </c>
      <c r="BE5" s="722"/>
      <c r="BF5" s="722" t="str">
        <f>IF(T5="","",T5)</f>
        <v/>
      </c>
      <c r="BG5" s="722"/>
      <c r="BH5" s="722"/>
    </row>
    <row s="16622" customFormat="1" customHeight="1" ht="14.25" hidden="1">
      <c r="A6" s="1570"/>
      <c r="B6" s="1570"/>
      <c r="C6" s="1570"/>
      <c r="D6" s="1570"/>
      <c r="E6" s="2389"/>
      <c r="F6" s="2389"/>
      <c r="G6" s="2389"/>
      <c r="H6" s="2389"/>
      <c r="I6" s="2390" t="str">
        <f>S5&amp;".1"</f>
        <v>.1</v>
      </c>
      <c r="J6" s="1570"/>
      <c r="K6" s="1570"/>
      <c r="L6" s="1573" t="s">
        <v>509</v>
      </c>
      <c r="M6" s="732"/>
      <c r="N6" s="732"/>
      <c r="O6" s="732"/>
      <c r="P6" s="2392">
        <v>1</v>
      </c>
      <c r="Q6" s="1708"/>
      <c r="R6" s="578"/>
      <c r="S6" s="1265"/>
      <c r="T6" s="1610"/>
      <c r="U6" s="1611"/>
      <c r="V6" s="2431"/>
      <c r="W6" s="2431"/>
      <c r="X6" s="2431"/>
      <c r="Y6" s="2431"/>
      <c r="Z6" s="2431"/>
      <c r="AA6" s="2431"/>
      <c r="AB6" s="2431"/>
      <c r="AC6" s="2432"/>
      <c r="AD6" s="2430"/>
      <c r="AE6" s="2431"/>
      <c r="AF6" s="2431"/>
      <c r="AG6" s="2431"/>
      <c r="AH6" s="2431"/>
      <c r="AI6" s="2431"/>
      <c r="AJ6" s="2431"/>
      <c r="AK6" s="2431"/>
      <c r="AL6" s="2431"/>
      <c r="AM6" s="2431"/>
      <c r="AN6" s="2431"/>
      <c r="AO6" s="2431"/>
      <c r="AP6" s="2431"/>
      <c r="AQ6" s="2431"/>
      <c r="AR6" s="2431"/>
      <c r="AS6" s="2431"/>
      <c r="AT6" s="2431"/>
      <c r="AU6" s="2431"/>
      <c r="AV6" s="2431"/>
      <c r="AW6" s="2431"/>
      <c r="AX6" s="2431"/>
      <c r="AY6" s="2431"/>
      <c r="AZ6" s="2431"/>
      <c r="BA6" s="2431"/>
      <c r="BB6" s="2432"/>
      <c r="BC6" s="1612"/>
      <c r="BE6" s="722"/>
      <c r="BF6" s="722" t="str">
        <f>IF(T6="","",T6)</f>
        <v/>
      </c>
      <c r="BG6" s="722"/>
      <c r="BH6" s="722"/>
    </row>
    <row s="16622" customFormat="1" customHeight="1" ht="14.25" hidden="1">
      <c r="A7" s="1570"/>
      <c r="B7" s="1570"/>
      <c r="C7" s="1570"/>
      <c r="D7" s="1570"/>
      <c r="E7" s="2389"/>
      <c r="F7" s="2389"/>
      <c r="G7" s="2389"/>
      <c r="H7" s="2389"/>
      <c r="I7" s="2391"/>
      <c r="J7" s="2390" t="str">
        <f>S5&amp;".1"</f>
        <v>.1</v>
      </c>
      <c r="K7" s="1570"/>
      <c r="L7" s="1573"/>
      <c r="M7" s="732"/>
      <c r="N7" s="732"/>
      <c r="O7" s="732"/>
      <c r="P7" s="2392"/>
      <c r="Q7" s="2392">
        <v>1</v>
      </c>
      <c r="R7" s="579"/>
      <c r="S7" s="1265"/>
      <c r="T7" s="1626"/>
      <c r="U7" s="1611"/>
      <c r="V7" s="2431"/>
      <c r="W7" s="2431"/>
      <c r="X7" s="2431"/>
      <c r="Y7" s="2431"/>
      <c r="Z7" s="2431"/>
      <c r="AA7" s="2431"/>
      <c r="AB7" s="2431"/>
      <c r="AC7" s="2432"/>
      <c r="AD7" s="2430"/>
      <c r="AE7" s="2431"/>
      <c r="AF7" s="2431"/>
      <c r="AG7" s="2431"/>
      <c r="AH7" s="2431"/>
      <c r="AI7" s="2431"/>
      <c r="AJ7" s="2431"/>
      <c r="AK7" s="2431"/>
      <c r="AL7" s="2431"/>
      <c r="AM7" s="2431"/>
      <c r="AN7" s="2431"/>
      <c r="AO7" s="2431"/>
      <c r="AP7" s="2431"/>
      <c r="AQ7" s="2431"/>
      <c r="AR7" s="2431"/>
      <c r="AS7" s="2431"/>
      <c r="AT7" s="2431"/>
      <c r="AU7" s="2431"/>
      <c r="AV7" s="2431"/>
      <c r="AW7" s="2431"/>
      <c r="AX7" s="2431"/>
      <c r="AY7" s="2431"/>
      <c r="AZ7" s="2431"/>
      <c r="BA7" s="2431"/>
      <c r="BB7" s="2432"/>
      <c r="BC7" s="1612"/>
      <c r="BE7" s="722"/>
      <c r="BF7" s="722" t="str">
        <f>IF(T7="","",T7)</f>
        <v/>
      </c>
      <c r="BG7" s="722"/>
      <c r="BH7" s="722"/>
    </row>
    <row customHeight="1" ht="11.25" hidden="1">
      <c r="A8" s="1590"/>
      <c r="B8" s="1590"/>
      <c r="C8" s="1590"/>
      <c r="D8" s="1590"/>
      <c r="E8" s="2389"/>
      <c r="F8" s="2389"/>
      <c r="G8" s="2389"/>
      <c r="H8" s="2389"/>
      <c r="I8" s="2391"/>
      <c r="J8" s="2391"/>
      <c r="K8" s="2390">
        <f>S4&amp;".1"</f>
      </c>
      <c r="L8" s="1591"/>
      <c r="P8" s="2392"/>
      <c r="Q8" s="2392"/>
      <c r="R8" s="2468">
        <v>1</v>
      </c>
      <c r="S8" s="2465">
        <f>$K8</f>
      </c>
      <c r="T8" s="2485"/>
      <c r="U8" s="522"/>
      <c r="V8" s="973"/>
      <c r="W8" s="1483"/>
      <c r="X8" s="973"/>
      <c r="Y8" s="1483"/>
      <c r="Z8" s="1961"/>
      <c r="AA8" s="1696" t="s">
        <v>63</v>
      </c>
      <c r="AB8" s="1961"/>
      <c r="AC8" s="1696" t="s">
        <v>63</v>
      </c>
      <c r="AD8" s="2326" t="s">
        <v>63</v>
      </c>
      <c r="AE8" s="2461"/>
      <c r="AF8" s="2339">
        <v>1</v>
      </c>
      <c r="AG8" s="2484"/>
      <c r="AH8" s="2263" t="s">
        <v>63</v>
      </c>
      <c r="AI8" s="2461"/>
      <c r="AJ8" s="2339">
        <v>1</v>
      </c>
      <c r="AK8" s="2483" t="s">
        <v>24</v>
      </c>
      <c r="AL8" s="2263" t="s">
        <v>63</v>
      </c>
      <c r="AM8" s="2311"/>
      <c r="AN8" s="2339">
        <v>1</v>
      </c>
      <c r="AO8" s="2488"/>
      <c r="AP8" s="2489" t="s">
        <v>63</v>
      </c>
      <c r="AQ8" s="533"/>
      <c r="AR8" s="1713">
        <v>1</v>
      </c>
      <c r="AS8" s="1719" t="s">
        <v>24</v>
      </c>
      <c r="AT8" s="973"/>
      <c r="AU8" s="1483"/>
      <c r="AV8" s="973"/>
      <c r="AW8" s="1483"/>
      <c r="AX8" s="1961"/>
      <c r="AY8" s="1696" t="s">
        <v>63</v>
      </c>
      <c r="AZ8" s="1961"/>
      <c r="BA8" s="1696" t="s">
        <v>63</v>
      </c>
      <c r="BB8" s="1575"/>
      <c r="BC8" s="2418" t="s">
        <v>605</v>
      </c>
      <c r="BE8" s="722"/>
      <c r="BF8" s="722" t="str">
        <f>IF(T8="","",T8)</f>
        <v/>
      </c>
      <c r="BG8" s="722"/>
      <c r="BH8" s="722"/>
    </row>
    <row customHeight="1" ht="11.25" hidden="1">
      <c r="A9" s="1590"/>
      <c r="B9" s="1590"/>
      <c r="C9" s="1590"/>
      <c r="D9" s="1590"/>
      <c r="E9" s="2389"/>
      <c r="F9" s="2389"/>
      <c r="G9" s="2389"/>
      <c r="H9" s="2389"/>
      <c r="I9" s="2391"/>
      <c r="J9" s="2391"/>
      <c r="K9" s="2390"/>
      <c r="L9" s="1591"/>
      <c r="P9" s="2392"/>
      <c r="Q9" s="2392"/>
      <c r="R9" s="2468"/>
      <c r="S9" s="2466"/>
      <c r="T9" s="2486"/>
      <c r="U9" s="522"/>
      <c r="V9" s="1620"/>
      <c r="W9" s="1723"/>
      <c r="X9" s="1620"/>
      <c r="Y9" s="1723"/>
      <c r="Z9" s="1620"/>
      <c r="AA9" s="1620"/>
      <c r="AB9" s="1620"/>
      <c r="AC9" s="1620"/>
      <c r="AD9" s="2327"/>
      <c r="AE9" s="2461"/>
      <c r="AF9" s="2339"/>
      <c r="AG9" s="2484"/>
      <c r="AH9" s="2263"/>
      <c r="AI9" s="2461"/>
      <c r="AJ9" s="2339"/>
      <c r="AK9" s="2483"/>
      <c r="AL9" s="2263"/>
      <c r="AM9" s="2319"/>
      <c r="AN9" s="2339"/>
      <c r="AO9" s="2488"/>
      <c r="AP9" s="2490"/>
      <c r="AQ9" s="538"/>
      <c r="AR9" s="638"/>
      <c r="AS9" s="638" t="s">
        <v>606</v>
      </c>
      <c r="AT9" s="1620"/>
      <c r="AU9" s="1723"/>
      <c r="AV9" s="1620"/>
      <c r="AW9" s="1723"/>
      <c r="AX9" s="1620"/>
      <c r="AY9" s="1620"/>
      <c r="AZ9" s="1620"/>
      <c r="BA9" s="1620"/>
      <c r="BB9" s="1624"/>
      <c r="BC9" s="2419"/>
      <c r="BE9" s="722"/>
      <c r="BF9" s="722"/>
      <c r="BG9" s="722"/>
      <c r="BH9" s="722"/>
    </row>
    <row customHeight="1" ht="11.25" hidden="1">
      <c r="A10" s="1590"/>
      <c r="B10" s="1590"/>
      <c r="C10" s="1590"/>
      <c r="D10" s="1590"/>
      <c r="E10" s="2389"/>
      <c r="F10" s="2389"/>
      <c r="G10" s="2389"/>
      <c r="H10" s="2389"/>
      <c r="I10" s="2391"/>
      <c r="J10" s="2391"/>
      <c r="K10" s="2390"/>
      <c r="L10" s="1591"/>
      <c r="P10" s="2392"/>
      <c r="Q10" s="2392"/>
      <c r="R10" s="2468"/>
      <c r="S10" s="2466"/>
      <c r="T10" s="2486"/>
      <c r="U10" s="522"/>
      <c r="V10" s="1620"/>
      <c r="W10" s="1723"/>
      <c r="X10" s="1620"/>
      <c r="Y10" s="1723"/>
      <c r="Z10" s="1620"/>
      <c r="AA10" s="1620"/>
      <c r="AB10" s="1620"/>
      <c r="AC10" s="1620"/>
      <c r="AD10" s="2327"/>
      <c r="AE10" s="2461"/>
      <c r="AF10" s="2339"/>
      <c r="AG10" s="2484"/>
      <c r="AH10" s="2263"/>
      <c r="AI10" s="2461"/>
      <c r="AJ10" s="2339"/>
      <c r="AK10" s="2483"/>
      <c r="AL10" s="2263"/>
      <c r="AM10" s="538"/>
      <c r="AN10" s="1727"/>
      <c r="AO10" s="1727" t="s">
        <v>607</v>
      </c>
      <c r="AP10" s="638"/>
      <c r="AQ10" s="638"/>
      <c r="AR10" s="638"/>
      <c r="AS10" s="1620"/>
      <c r="AT10" s="1620"/>
      <c r="AU10" s="1723"/>
      <c r="AV10" s="1620"/>
      <c r="AW10" s="1723"/>
      <c r="AX10" s="1620"/>
      <c r="AY10" s="1620"/>
      <c r="AZ10" s="1620"/>
      <c r="BA10" s="1620"/>
      <c r="BB10" s="1624"/>
      <c r="BC10" s="2419"/>
      <c r="BE10" s="722"/>
      <c r="BF10" s="722"/>
      <c r="BG10" s="722"/>
      <c r="BH10" s="722"/>
    </row>
    <row customHeight="1" ht="11.25" hidden="1">
      <c r="A11" s="1590"/>
      <c r="B11" s="1590"/>
      <c r="C11" s="1590"/>
      <c r="D11" s="1590"/>
      <c r="E11" s="2389"/>
      <c r="F11" s="2389"/>
      <c r="G11" s="2389"/>
      <c r="H11" s="2389"/>
      <c r="I11" s="2391"/>
      <c r="J11" s="2391"/>
      <c r="K11" s="2390"/>
      <c r="L11" s="1591"/>
      <c r="P11" s="2392"/>
      <c r="Q11" s="2392"/>
      <c r="R11" s="2468"/>
      <c r="S11" s="2466"/>
      <c r="T11" s="2486"/>
      <c r="U11" s="522"/>
      <c r="V11" s="1620"/>
      <c r="W11" s="1723"/>
      <c r="X11" s="1620"/>
      <c r="Y11" s="1723"/>
      <c r="Z11" s="1620"/>
      <c r="AA11" s="1620"/>
      <c r="AB11" s="1620"/>
      <c r="AC11" s="1620"/>
      <c r="AD11" s="2327"/>
      <c r="AE11" s="2461"/>
      <c r="AF11" s="2339"/>
      <c r="AG11" s="2484"/>
      <c r="AH11" s="2263"/>
      <c r="AI11" s="516"/>
      <c r="AJ11" s="637"/>
      <c r="AK11" s="535" t="s">
        <v>608</v>
      </c>
      <c r="AL11" s="1620"/>
      <c r="AM11" s="1620"/>
      <c r="AN11" s="1620"/>
      <c r="AO11" s="1620"/>
      <c r="AP11" s="1620"/>
      <c r="AQ11" s="1620"/>
      <c r="AR11" s="1620"/>
      <c r="AS11" s="1620"/>
      <c r="AT11" s="1620"/>
      <c r="AU11" s="1723"/>
      <c r="AV11" s="1620"/>
      <c r="AW11" s="1723"/>
      <c r="AX11" s="1620"/>
      <c r="AY11" s="1620"/>
      <c r="AZ11" s="1620"/>
      <c r="BA11" s="1620"/>
      <c r="BB11" s="1624"/>
      <c r="BC11" s="2419"/>
      <c r="BE11" s="722"/>
      <c r="BF11" s="722"/>
      <c r="BG11" s="722"/>
      <c r="BH11" s="722"/>
    </row>
    <row customHeight="1" ht="11.25" hidden="1">
      <c r="A12" s="1590"/>
      <c r="B12" s="1590"/>
      <c r="C12" s="1590"/>
      <c r="D12" s="1590"/>
      <c r="E12" s="2389"/>
      <c r="F12" s="2389"/>
      <c r="G12" s="2389"/>
      <c r="H12" s="2389"/>
      <c r="I12" s="2391"/>
      <c r="J12" s="2391"/>
      <c r="K12" s="2390"/>
      <c r="L12" s="1591"/>
      <c r="P12" s="2392"/>
      <c r="Q12" s="2392"/>
      <c r="R12" s="2468"/>
      <c r="S12" s="2467"/>
      <c r="T12" s="2487"/>
      <c r="U12" s="522"/>
      <c r="V12" s="1620"/>
      <c r="W12" s="1621" t="str">
        <f>Z8&amp;"-"&amp;AB8</f>
        <v>-</v>
      </c>
      <c r="X12" s="1620"/>
      <c r="Y12" s="1621" t="str">
        <f>AB8&amp;"-"&amp;AD8</f>
        <v>-да</v>
      </c>
      <c r="Z12" s="1620"/>
      <c r="AA12" s="1620"/>
      <c r="AB12" s="1620"/>
      <c r="AC12" s="1620"/>
      <c r="AD12" s="2268"/>
      <c r="AE12" s="534"/>
      <c r="AF12" s="536"/>
      <c r="AG12" s="638" t="s">
        <v>609</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19"/>
      <c r="BE12" s="722"/>
      <c r="BF12" s="722" t="str">
        <f>IF(T12="","",T12)</f>
        <v/>
      </c>
      <c r="BG12" s="722"/>
      <c r="BH12" s="722"/>
    </row>
    <row customHeight="1" ht="11.25" hidden="1">
      <c r="A13" s="1590"/>
      <c r="B13" s="1590"/>
      <c r="C13" s="1590"/>
      <c r="D13" s="1590"/>
      <c r="E13" s="2389"/>
      <c r="F13" s="2389"/>
      <c r="G13" s="2389"/>
      <c r="H13" s="2389"/>
      <c r="I13" s="2391"/>
      <c r="J13" s="2390"/>
      <c r="K13" s="1590"/>
      <c r="L13" s="1591"/>
      <c r="P13" s="2392"/>
      <c r="Q13" s="2392"/>
      <c r="R13" s="578"/>
      <c r="S13" s="1505"/>
      <c r="T13" s="509" t="s">
        <v>571</v>
      </c>
      <c r="U13" s="589"/>
      <c r="V13" s="589"/>
      <c r="W13" s="589"/>
      <c r="X13" s="589"/>
      <c r="Y13" s="589"/>
      <c r="Z13" s="589"/>
      <c r="AA13" s="589"/>
      <c r="AB13" s="589"/>
      <c r="AC13" s="589"/>
      <c r="AD13" s="1732"/>
      <c r="AE13" s="589"/>
      <c r="AF13" s="589"/>
      <c r="AG13" s="589"/>
      <c r="AH13" s="589"/>
      <c r="AI13" s="589"/>
      <c r="AJ13" s="589"/>
      <c r="AK13" s="589"/>
      <c r="AL13" s="589"/>
      <c r="AM13" s="589"/>
      <c r="AN13" s="589"/>
      <c r="AO13" s="589"/>
      <c r="AP13" s="589"/>
      <c r="AQ13" s="589"/>
      <c r="AR13" s="589"/>
      <c r="AS13" s="589"/>
      <c r="AT13" s="589"/>
      <c r="AU13" s="589"/>
      <c r="AV13" s="589"/>
      <c r="AW13" s="589"/>
      <c r="AX13" s="589"/>
      <c r="AY13" s="589"/>
      <c r="AZ13" s="589"/>
      <c r="BA13" s="589"/>
      <c r="BB13" s="546"/>
      <c r="BC13" s="2420"/>
      <c r="BE13" s="722"/>
      <c r="BF13" s="722" t="str">
        <f>IF(T13="","",T13)</f>
        <v>Добавить строку</v>
      </c>
      <c r="BG13" s="722"/>
      <c r="BH13" s="722"/>
    </row>
    <row s="16622" customFormat="1" customHeight="1" ht="14.25" hidden="1">
      <c r="A14" s="1570"/>
      <c r="B14" s="1570"/>
      <c r="C14" s="1570"/>
      <c r="D14" s="1570"/>
      <c r="E14" s="2389"/>
      <c r="F14" s="2389"/>
      <c r="G14" s="2389"/>
      <c r="H14" s="2389"/>
      <c r="I14" s="2390"/>
      <c r="J14" s="1570"/>
      <c r="K14" s="1570"/>
      <c r="L14" s="1573"/>
      <c r="M14" s="732"/>
      <c r="N14" s="732"/>
      <c r="O14" s="732"/>
      <c r="P14" s="2392"/>
      <c r="Q14" s="1708"/>
      <c r="R14" s="578"/>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2"/>
      <c r="BF14" s="722" t="str">
        <f>IF(T14="","",T14)</f>
        <v/>
      </c>
      <c r="BG14" s="722"/>
      <c r="BH14" s="722"/>
    </row>
    <row s="16622" customFormat="1" customHeight="1" ht="14.25" hidden="1">
      <c r="A15" s="1570"/>
      <c r="B15" s="1570"/>
      <c r="C15" s="1570"/>
      <c r="D15" s="1570"/>
      <c r="E15" s="2389"/>
      <c r="F15" s="2389"/>
      <c r="G15" s="2389"/>
      <c r="H15" s="2388"/>
      <c r="I15" s="1570"/>
      <c r="J15" s="1570"/>
      <c r="K15" s="1570"/>
      <c r="L15" s="1573"/>
      <c r="M15" s="1542"/>
      <c r="N15" s="1542"/>
      <c r="O15" s="740"/>
      <c r="P15" s="602"/>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2"/>
      <c r="BF15" s="722" t="str">
        <f>IF(T15="","",T15)</f>
        <v/>
      </c>
      <c r="BG15" s="722"/>
      <c r="BH15" s="722"/>
    </row>
    <row s="16531" customFormat="1" customHeight="1" ht="14.25" hidden="1">
      <c r="A16" s="1570"/>
      <c r="B16" s="1570"/>
      <c r="C16" s="1570"/>
      <c r="D16" s="1541"/>
      <c r="E16" s="2389"/>
      <c r="F16" s="2389"/>
      <c r="G16" s="2388"/>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1"/>
      <c r="BF16" s="1011" t="str">
        <f>IF(T16="","",T16)</f>
        <v/>
      </c>
      <c r="BG16" s="1011"/>
      <c r="BH16" s="1011"/>
    </row>
    <row s="16531" customFormat="1" customHeight="1" ht="14.25" hidden="1">
      <c r="A17" s="1570"/>
      <c r="B17" s="1570"/>
      <c r="C17" s="1541"/>
      <c r="D17" s="1541"/>
      <c r="E17" s="2389"/>
      <c r="F17" s="2388"/>
      <c r="G17" s="1541"/>
      <c r="H17" s="1541"/>
      <c r="I17" s="1541"/>
      <c r="J17" s="1541"/>
      <c r="K17" s="1541"/>
      <c r="L17" s="1721"/>
      <c r="M17" s="1548"/>
      <c r="N17" s="1548"/>
      <c r="P17" s="1543"/>
      <c r="Q17" s="1544"/>
      <c r="R17" s="1543"/>
      <c r="S17" s="1549"/>
      <c r="T17" s="1552" t="s">
        <v>305</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1"/>
      <c r="BF17" s="1011" t="str">
        <f>IF(T17="","",T17)</f>
        <v>Добавить централизованную систему для дифференциации</v>
      </c>
      <c r="BG17" s="1011"/>
      <c r="BH17" s="1011"/>
    </row>
    <row s="16622" customFormat="1" customHeight="1" ht="14.25" hidden="1">
      <c r="A18" s="1570"/>
      <c r="B18" s="1570"/>
      <c r="C18" s="1570"/>
      <c r="D18" s="1570"/>
      <c r="E18" s="2388"/>
      <c r="F18" s="1570"/>
      <c r="G18" s="1570"/>
      <c r="H18" s="1570"/>
      <c r="I18" s="1570"/>
      <c r="J18" s="1570"/>
      <c r="K18" s="1570"/>
      <c r="L18" s="1573"/>
      <c r="M18" s="1548"/>
      <c r="N18" s="1548"/>
      <c r="O18" s="740"/>
      <c r="P18" s="602"/>
      <c r="Q18" s="1571"/>
      <c r="R18" s="602"/>
      <c r="S18" s="1549"/>
      <c r="T18" s="1552" t="s">
        <v>358</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2"/>
      <c r="BF18" s="722" t="str">
        <f>IF(T18="","",T18)</f>
        <v>Добавить территорию для дифференциации</v>
      </c>
      <c r="BG18" s="722"/>
      <c r="BH18" s="722"/>
    </row>
    <row customHeight="1" ht="14.25" hidden="1">
      <c r="AC19" s="549"/>
      <c r="BA19" s="549"/>
    </row>
    <row customHeight="1" ht="14.25" hidden="1">
      <c r="AD20" s="1551" t="s">
        <v>53</v>
      </c>
      <c r="AE20" s="1728"/>
      <c r="AF20" s="770">
        <v>1</v>
      </c>
      <c r="AG20" s="1729"/>
      <c r="AH20" s="1551" t="s">
        <v>53</v>
      </c>
      <c r="AI20" s="1728"/>
      <c r="AJ20" s="770">
        <v>1</v>
      </c>
      <c r="AK20" s="1729"/>
      <c r="AL20" s="1551" t="s">
        <v>53</v>
      </c>
      <c r="AM20" s="1730"/>
      <c r="AN20" s="770">
        <v>1</v>
      </c>
      <c r="AO20" s="1731"/>
      <c r="AP20" s="1551" t="s">
        <v>53</v>
      </c>
      <c r="AQ20" s="1730"/>
      <c r="AR20" s="770">
        <v>1</v>
      </c>
      <c r="AS20" s="1731"/>
      <c r="AT20" s="547"/>
      <c r="AU20" s="606"/>
      <c r="AV20" s="547"/>
      <c r="AW20" s="606"/>
      <c r="AX20" s="1963"/>
      <c r="AY20" s="1712" t="s">
        <v>63</v>
      </c>
      <c r="AZ20" s="1963"/>
      <c r="BA20" s="1712" t="s">
        <v>63</v>
      </c>
    </row>
    <row customHeight="1" ht="14.25" hidden="1">
      <c r="BD21" s="718"/>
      <c r="BE21" s="718"/>
      <c r="BF21" s="718"/>
      <c r="BG21" s="718"/>
      <c r="BH21" s="718"/>
    </row>
    <row customHeight="1" ht="14.25" hidden="1">
      <c r="O22" s="1594" t="s">
        <v>521</v>
      </c>
      <c r="Z22" s="1572"/>
      <c r="AB22" s="1572"/>
      <c r="AC22" s="549"/>
      <c r="AX22" s="1572"/>
      <c r="AZ22" s="1572"/>
      <c r="BA22" s="549"/>
      <c r="BD22" s="718"/>
      <c r="BE22" s="718"/>
      <c r="BF22" s="718"/>
      <c r="BG22" s="718"/>
      <c r="BH22" s="718"/>
    </row>
    <row customHeight="1" ht="14.25" hidden="1">
      <c r="AC23" s="549"/>
      <c r="BA23" s="549"/>
      <c r="BD23" s="718"/>
      <c r="BE23" s="718"/>
      <c r="BF23" s="718"/>
      <c r="BG23" s="718"/>
      <c r="BH23" s="718"/>
    </row>
    <row s="16777" customFormat="1" customHeight="1" ht="14.25" hidden="1">
      <c r="M24" s="1735"/>
      <c r="N24" s="1735"/>
      <c r="O24" s="1736" t="s">
        <v>522</v>
      </c>
      <c r="P24" s="1735"/>
      <c r="Q24" s="1737"/>
      <c r="R24" s="1737"/>
      <c r="AA24" s="1734" t="s">
        <v>524</v>
      </c>
      <c r="AC24" s="1734" t="s">
        <v>525</v>
      </c>
      <c r="AD24" s="1734" t="s">
        <v>572</v>
      </c>
      <c r="AH24" s="1734" t="s">
        <v>572</v>
      </c>
      <c r="AK24" s="1734" t="s">
        <v>610</v>
      </c>
      <c r="AL24" s="1734" t="s">
        <v>572</v>
      </c>
      <c r="AP24" s="1734" t="s">
        <v>572</v>
      </c>
      <c r="AY24" s="1734" t="s">
        <v>524</v>
      </c>
      <c r="BA24" s="1734" t="s">
        <v>525</v>
      </c>
      <c r="BD24" s="1738"/>
      <c r="BE24" s="1738"/>
      <c r="BF24" s="1738"/>
      <c r="BG24" s="1738"/>
      <c r="BH24" s="1738"/>
    </row>
    <row customHeight="1" ht="14.25" hidden="1">
      <c r="O25" s="1591"/>
      <c r="BD25" s="718"/>
      <c r="BE25" s="718"/>
      <c r="BF25" s="718"/>
      <c r="BG25" s="718"/>
      <c r="BH25" s="718"/>
    </row>
    <row customHeight="1" ht="14.25" hidden="1">
      <c r="O26" s="1591"/>
      <c r="BD26" s="718"/>
      <c r="BE26" s="718"/>
      <c r="BF26" s="718"/>
      <c r="BG26" s="718"/>
      <c r="BH26" s="718"/>
    </row>
    <row customHeight="1" ht="14.25">
      <c r="Q27" s="513"/>
      <c r="R27" s="598"/>
      <c r="S27" s="1502"/>
      <c r="T27" s="585"/>
      <c r="U27" s="585"/>
      <c r="V27" s="731"/>
      <c r="W27" s="731"/>
      <c r="X27" s="731"/>
      <c r="Y27" s="731"/>
      <c r="Z27" s="731"/>
      <c r="AA27" s="731"/>
      <c r="AB27" s="731"/>
      <c r="AC27" s="731"/>
      <c r="AD27" s="731"/>
      <c r="AE27" s="731"/>
      <c r="AF27" s="731"/>
      <c r="AG27" s="731"/>
      <c r="AH27" s="731"/>
      <c r="AI27" s="731"/>
      <c r="AJ27" s="731"/>
      <c r="AK27" s="731"/>
      <c r="AL27" s="731"/>
      <c r="AM27" s="731"/>
      <c r="AN27" s="731"/>
      <c r="AO27" s="731"/>
      <c r="AP27" s="731"/>
      <c r="AQ27" s="731"/>
      <c r="AR27" s="731"/>
      <c r="AS27" s="731"/>
      <c r="AT27" s="731"/>
      <c r="AU27" s="731"/>
      <c r="AV27" s="731"/>
      <c r="AW27" s="731"/>
      <c r="AX27" s="731"/>
      <c r="AY27" s="731"/>
      <c r="AZ27" s="731"/>
      <c r="BA27" s="731"/>
    </row>
    <row customHeight="1" ht="14.25">
      <c r="Q28" s="513"/>
      <c r="R28" s="598"/>
      <c r="S28" s="242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21"/>
      <c r="U28" s="2421"/>
      <c r="V28" s="2421"/>
      <c r="W28" s="2421"/>
      <c r="X28" s="2421"/>
      <c r="Y28" s="2421"/>
      <c r="Z28" s="2421"/>
      <c r="AA28" s="2421"/>
      <c r="AB28" s="2421"/>
      <c r="AC28" s="2421"/>
      <c r="AD28" s="2421"/>
      <c r="AE28" s="2421"/>
      <c r="AF28" s="2421"/>
      <c r="AG28" s="2421"/>
      <c r="AH28" s="2421"/>
      <c r="AI28" s="2421"/>
      <c r="AJ28" s="2421"/>
      <c r="AK28" s="2421"/>
      <c r="AL28" s="2421"/>
      <c r="AM28" s="2421"/>
      <c r="AN28" s="2421"/>
      <c r="AO28" s="2421"/>
      <c r="AP28" s="2421"/>
      <c r="AQ28" s="2421"/>
      <c r="AR28" s="2421"/>
      <c r="AS28" s="2421"/>
      <c r="AT28" s="2421"/>
      <c r="AU28" s="2421"/>
      <c r="AV28" s="2421"/>
      <c r="AW28" s="2421"/>
      <c r="AX28" s="2421"/>
      <c r="AY28" s="2421"/>
      <c r="AZ28" s="2421"/>
      <c r="BA28" s="1469"/>
    </row>
    <row customHeight="1" ht="14.25">
      <c r="Q29" s="513"/>
      <c r="R29" s="598"/>
      <c r="S29" s="2422" t="str">
        <f>IF(org=0,"Не определено",org)</f>
        <v>КГУП "Примтеплоэнерго"</v>
      </c>
      <c r="T29" s="2422"/>
      <c r="U29" s="2422"/>
      <c r="V29" s="2422"/>
      <c r="W29" s="2422"/>
      <c r="X29" s="2422"/>
      <c r="Y29" s="2422"/>
      <c r="Z29" s="2422"/>
      <c r="AA29" s="2422"/>
      <c r="AB29" s="2422"/>
      <c r="AC29" s="2422"/>
      <c r="AD29" s="2422"/>
      <c r="AE29" s="2422"/>
      <c r="AF29" s="2422"/>
      <c r="AG29" s="2422"/>
      <c r="AH29" s="2422"/>
      <c r="AI29" s="2422"/>
      <c r="AJ29" s="2422"/>
      <c r="AK29" s="2422"/>
      <c r="AL29" s="2422"/>
      <c r="AM29" s="2422"/>
      <c r="AN29" s="2422"/>
      <c r="AO29" s="2422"/>
      <c r="AP29" s="2422"/>
      <c r="AQ29" s="2422"/>
      <c r="AR29" s="2422"/>
      <c r="AS29" s="2422"/>
      <c r="AT29" s="2422"/>
      <c r="AU29" s="2422"/>
      <c r="AV29" s="2422"/>
      <c r="AW29" s="2422"/>
      <c r="AX29" s="2422"/>
      <c r="AY29" s="2422"/>
      <c r="AZ29" s="2422"/>
      <c r="BA29" s="1469"/>
    </row>
    <row customHeight="1" ht="14.25" hidden="1">
      <c r="Q30" s="513"/>
      <c r="R30" s="598"/>
      <c r="S30" s="1502"/>
      <c r="T30" s="585"/>
      <c r="U30" s="585"/>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731"/>
    </row>
    <row s="16563" customFormat="1" customHeight="1" ht="25.5" hidden="1">
      <c r="A31" s="1595"/>
      <c r="B31" s="1595"/>
      <c r="C31" s="1595"/>
      <c r="D31" s="1595"/>
      <c r="E31" s="1595"/>
      <c r="F31" s="1595"/>
      <c r="G31" s="1595"/>
      <c r="H31" s="1595"/>
      <c r="I31" s="1595"/>
      <c r="J31" s="1595"/>
      <c r="K31" s="1595"/>
      <c r="L31" s="1596"/>
      <c r="M31" s="1595"/>
      <c r="N31" s="1595"/>
      <c r="O31" s="1595"/>
      <c r="P31" s="1595"/>
      <c r="Q31" s="1595"/>
      <c r="S31" s="2379" t="s">
        <v>38</v>
      </c>
      <c r="T31" s="2379"/>
      <c r="U31" s="1599"/>
      <c r="V31" s="2381" t="str">
        <f>IF(TITLE_NAME_OR_PR_CHANGE="",IF(TITLE_NAME_OR_PR="","",TITLE_NAME_OR_PR),TITLE_NAME_OR_PR_CHANGE)</f>
        <v/>
      </c>
      <c r="W31" s="2381"/>
      <c r="X31" s="2381"/>
      <c r="Y31" s="2381"/>
      <c r="Z31" s="2381"/>
      <c r="AA31" s="2381"/>
      <c r="AB31" s="2381"/>
      <c r="AC31" s="548"/>
      <c r="AD31" s="2381" t="str">
        <f>IF(TITLE_NAME_OR_PR_CHANGE="",IF(TITLE_NAME_OR_PR="","",TITLE_NAME_OR_PR),TITLE_NAME_OR_PR_CHANGE)</f>
        <v/>
      </c>
      <c r="AE31" s="2381"/>
      <c r="AF31" s="2381"/>
      <c r="AG31" s="2381"/>
      <c r="AH31" s="2381"/>
      <c r="AI31" s="2381"/>
      <c r="AJ31" s="2381"/>
      <c r="AK31" s="2381"/>
      <c r="AL31" s="2381"/>
      <c r="AM31" s="2381"/>
      <c r="AN31" s="2381"/>
      <c r="AO31" s="2381"/>
      <c r="AP31" s="2381"/>
      <c r="AQ31" s="2381"/>
      <c r="AR31" s="2381"/>
      <c r="AS31" s="2381"/>
      <c r="AT31" s="2381"/>
      <c r="AU31" s="2381"/>
      <c r="AV31" s="2381"/>
      <c r="AW31" s="2381"/>
      <c r="AX31" s="2381"/>
      <c r="AY31" s="2381"/>
      <c r="AZ31" s="2381"/>
      <c r="BA31" s="548"/>
      <c r="BB31" s="548"/>
      <c r="BC31" s="502"/>
      <c r="BD31" s="590"/>
      <c r="BE31" s="590"/>
      <c r="BF31" s="590"/>
      <c r="BG31" s="590"/>
      <c r="BH31" s="590"/>
    </row>
    <row s="16563" customFormat="1" customHeight="1" ht="18.75" hidden="1">
      <c r="A32" s="1595"/>
      <c r="B32" s="1595"/>
      <c r="C32" s="1595"/>
      <c r="D32" s="1595"/>
      <c r="E32" s="1595"/>
      <c r="F32" s="1595"/>
      <c r="G32" s="1595"/>
      <c r="H32" s="1595"/>
      <c r="I32" s="1595"/>
      <c r="J32" s="1595"/>
      <c r="K32" s="1595"/>
      <c r="L32" s="1596"/>
      <c r="M32" s="1595"/>
      <c r="N32" s="1595"/>
      <c r="O32" s="1595"/>
      <c r="P32" s="1595"/>
      <c r="Q32" s="1595"/>
      <c r="S32" s="2379" t="s">
        <v>527</v>
      </c>
      <c r="T32" s="2379"/>
      <c r="U32" s="1599"/>
      <c r="V32" s="2380" t="str">
        <f>IF(TITLE_DATE_PR_CHANGE="",IF(TITLE_DATE_PR="","",TITLE_DATE_PR),TITLE_DATE_PR_CHANGE)</f>
        <v>45407.47206018519</v>
      </c>
      <c r="W32" s="2380"/>
      <c r="X32" s="2380"/>
      <c r="Y32" s="2380"/>
      <c r="Z32" s="2380"/>
      <c r="AA32" s="2380"/>
      <c r="AB32" s="2380"/>
      <c r="AC32" s="548"/>
      <c r="AD32" s="2380" t="str">
        <f>IF(TITLE_DATE_PR_CHANGE="",IF(TITLE_DATE_PR="","",TITLE_DATE_PR),TITLE_DATE_PR_CHANGE)</f>
        <v>45407.47206018519</v>
      </c>
      <c r="AE32" s="2380"/>
      <c r="AF32" s="2380"/>
      <c r="AG32" s="2380"/>
      <c r="AH32" s="2380"/>
      <c r="AI32" s="2380"/>
      <c r="AJ32" s="2380"/>
      <c r="AK32" s="2380"/>
      <c r="AL32" s="2380"/>
      <c r="AM32" s="2380"/>
      <c r="AN32" s="2380"/>
      <c r="AO32" s="2380"/>
      <c r="AP32" s="2380"/>
      <c r="AQ32" s="2380"/>
      <c r="AR32" s="2380"/>
      <c r="AS32" s="2380"/>
      <c r="AT32" s="2380"/>
      <c r="AU32" s="2380"/>
      <c r="AV32" s="2380"/>
      <c r="AW32" s="2380"/>
      <c r="AX32" s="2380"/>
      <c r="AY32" s="2380"/>
      <c r="AZ32" s="2380"/>
      <c r="BA32" s="548"/>
      <c r="BB32" s="548"/>
      <c r="BC32" s="502"/>
      <c r="BD32" s="590"/>
      <c r="BE32" s="590"/>
      <c r="BF32" s="590"/>
      <c r="BG32" s="590"/>
      <c r="BH32" s="590"/>
    </row>
    <row s="16563" customFormat="1" customHeight="1" ht="18.75" hidden="1">
      <c r="A33" s="1595"/>
      <c r="B33" s="1595"/>
      <c r="C33" s="1595"/>
      <c r="D33" s="1595"/>
      <c r="E33" s="1595"/>
      <c r="F33" s="1595"/>
      <c r="G33" s="1595"/>
      <c r="H33" s="1595"/>
      <c r="I33" s="1595"/>
      <c r="J33" s="1595"/>
      <c r="K33" s="1595"/>
      <c r="L33" s="1596"/>
      <c r="M33" s="1595"/>
      <c r="N33" s="1595"/>
      <c r="O33" s="1595"/>
      <c r="P33" s="1595"/>
      <c r="Q33" s="1595"/>
      <c r="S33" s="2379" t="s">
        <v>528</v>
      </c>
      <c r="T33" s="2379"/>
      <c r="U33" s="1599"/>
      <c r="V33" s="2381" t="str">
        <f>IF(TITLE_NUMBER_PR_CHANGE="",IF(TITLE_NUMBER_PR="","",TITLE_NUMBER_PR),TITLE_NUMBER_PR_CHANGE)</f>
        <v>27-2067</v>
      </c>
      <c r="W33" s="2381"/>
      <c r="X33" s="2381"/>
      <c r="Y33" s="2381"/>
      <c r="Z33" s="2381"/>
      <c r="AA33" s="2381"/>
      <c r="AB33" s="2381"/>
      <c r="AC33" s="548"/>
      <c r="AD33" s="2381" t="str">
        <f>IF(TITLE_NUMBER_PR_CHANGE="",IF(TITLE_NUMBER_PR="","",TITLE_NUMBER_PR),TITLE_NUMBER_PR_CHANGE)</f>
        <v>27-2067</v>
      </c>
      <c r="AE33" s="2381"/>
      <c r="AF33" s="2381"/>
      <c r="AG33" s="2381"/>
      <c r="AH33" s="2381"/>
      <c r="AI33" s="2381"/>
      <c r="AJ33" s="2381"/>
      <c r="AK33" s="2381"/>
      <c r="AL33" s="2381"/>
      <c r="AM33" s="2381"/>
      <c r="AN33" s="2381"/>
      <c r="AO33" s="2381"/>
      <c r="AP33" s="2381"/>
      <c r="AQ33" s="2381"/>
      <c r="AR33" s="2381"/>
      <c r="AS33" s="2381"/>
      <c r="AT33" s="2381"/>
      <c r="AU33" s="2381"/>
      <c r="AV33" s="2381"/>
      <c r="AW33" s="2381"/>
      <c r="AX33" s="2381"/>
      <c r="AY33" s="2381"/>
      <c r="AZ33" s="2381"/>
      <c r="BA33" s="548"/>
      <c r="BB33" s="548"/>
      <c r="BC33" s="502"/>
      <c r="BD33" s="590"/>
      <c r="BE33" s="590"/>
      <c r="BF33" s="590"/>
      <c r="BG33" s="590"/>
      <c r="BH33" s="590"/>
    </row>
    <row s="16563" customFormat="1" customHeight="1" ht="18.75" hidden="1">
      <c r="A34" s="1595"/>
      <c r="B34" s="1595"/>
      <c r="C34" s="1595"/>
      <c r="D34" s="1595"/>
      <c r="E34" s="1595"/>
      <c r="F34" s="1595"/>
      <c r="G34" s="1595"/>
      <c r="H34" s="1595"/>
      <c r="I34" s="1595"/>
      <c r="J34" s="1595"/>
      <c r="K34" s="1595"/>
      <c r="L34" s="1596"/>
      <c r="M34" s="1595"/>
      <c r="N34" s="1595"/>
      <c r="O34" s="1595"/>
      <c r="P34" s="1595"/>
      <c r="Q34" s="1595"/>
      <c r="S34" s="2379" t="s">
        <v>39</v>
      </c>
      <c r="T34" s="2379"/>
      <c r="U34" s="1599"/>
      <c r="V34" s="2381" t="str">
        <f>IF(TITLE_IST_PUB_CHANGE="",IF(TITLE_IST_PUB="","",TITLE_IST_PUB),TITLE_IST_PUB_CHANGE)</f>
        <v/>
      </c>
      <c r="W34" s="2381"/>
      <c r="X34" s="2381"/>
      <c r="Y34" s="2381"/>
      <c r="Z34" s="2381"/>
      <c r="AA34" s="2381"/>
      <c r="AB34" s="2381"/>
      <c r="AC34" s="548"/>
      <c r="AD34" s="2381" t="str">
        <f>IF(TITLE_IST_PUB_CHANGE="",IF(TITLE_IST_PUB="","",TITLE_IST_PUB),TITLE_IST_PUB_CHANGE)</f>
        <v/>
      </c>
      <c r="AE34" s="2381"/>
      <c r="AF34" s="2381"/>
      <c r="AG34" s="2381"/>
      <c r="AH34" s="2381"/>
      <c r="AI34" s="2381"/>
      <c r="AJ34" s="2381"/>
      <c r="AK34" s="2381"/>
      <c r="AL34" s="2381"/>
      <c r="AM34" s="2381"/>
      <c r="AN34" s="2381"/>
      <c r="AO34" s="2381"/>
      <c r="AP34" s="2381"/>
      <c r="AQ34" s="2381"/>
      <c r="AR34" s="2381"/>
      <c r="AS34" s="2381"/>
      <c r="AT34" s="2381"/>
      <c r="AU34" s="2381"/>
      <c r="AV34" s="2381"/>
      <c r="AW34" s="2381"/>
      <c r="AX34" s="2381"/>
      <c r="AY34" s="2381"/>
      <c r="AZ34" s="2381"/>
      <c r="BA34" s="548"/>
      <c r="BB34" s="548"/>
      <c r="BC34" s="502"/>
      <c r="BD34" s="590"/>
      <c r="BE34" s="590"/>
      <c r="BF34" s="590"/>
      <c r="BG34" s="590"/>
      <c r="BH34" s="590"/>
    </row>
    <row customHeight="1" ht="14.25">
      <c r="Q35" s="513"/>
      <c r="R35" s="598"/>
      <c r="S35" s="1502"/>
      <c r="T35" s="585"/>
      <c r="U35" s="585"/>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731"/>
    </row>
    <row s="16563" customFormat="1" customHeight="1" ht="18.75">
      <c r="A36" s="1595"/>
      <c r="B36" s="1595"/>
      <c r="C36" s="1595"/>
      <c r="D36" s="1595"/>
      <c r="E36" s="1595"/>
      <c r="F36" s="1595"/>
      <c r="G36" s="1595"/>
      <c r="H36" s="1595"/>
      <c r="I36" s="1595"/>
      <c r="J36" s="1595"/>
      <c r="K36" s="1595"/>
      <c r="L36" s="1596"/>
      <c r="M36" s="1595"/>
      <c r="N36" s="1595"/>
      <c r="O36" s="1595"/>
      <c r="P36" s="1595"/>
      <c r="Q36" s="1595"/>
      <c r="S36" s="2379" t="s">
        <v>527</v>
      </c>
      <c r="T36" s="2379"/>
      <c r="U36" s="1599"/>
      <c r="V36" s="2380" t="str">
        <f>IF(TITLE_DATE_PR_CHANGE="",IF(TITLE_DATE_PR="","",TITLE_DATE_PR),TITLE_DATE_PR_CHANGE)</f>
        <v>45407.47206018519</v>
      </c>
      <c r="W36" s="2380"/>
      <c r="X36" s="2380"/>
      <c r="Y36" s="2380"/>
      <c r="Z36" s="2380"/>
      <c r="AA36" s="2380"/>
      <c r="AB36" s="2380"/>
      <c r="AC36" s="548"/>
      <c r="AD36" s="2380" t="str">
        <f>IF(TITLE_DATE_PR_CHANGE="",IF(TITLE_DATE_PR="","",TITLE_DATE_PR),TITLE_DATE_PR_CHANGE)</f>
        <v>45407.47206018519</v>
      </c>
      <c r="AE36" s="2380"/>
      <c r="AF36" s="2380"/>
      <c r="AG36" s="2380"/>
      <c r="AH36" s="2380"/>
      <c r="AI36" s="2380"/>
      <c r="AJ36" s="2380"/>
      <c r="AK36" s="2380"/>
      <c r="AL36" s="2380"/>
      <c r="AM36" s="2380"/>
      <c r="AN36" s="2380"/>
      <c r="AO36" s="2380"/>
      <c r="AP36" s="2380"/>
      <c r="AQ36" s="2380"/>
      <c r="AR36" s="2380"/>
      <c r="AS36" s="2380"/>
      <c r="AT36" s="2380"/>
      <c r="AU36" s="2380"/>
      <c r="AV36" s="2380"/>
      <c r="AW36" s="2380"/>
      <c r="AX36" s="2380"/>
      <c r="AY36" s="2380"/>
      <c r="AZ36" s="2380"/>
      <c r="BA36" s="548"/>
      <c r="BB36" s="548"/>
      <c r="BC36" s="502"/>
      <c r="BD36" s="590"/>
      <c r="BE36" s="590"/>
      <c r="BF36" s="590"/>
      <c r="BG36" s="590"/>
      <c r="BH36" s="590"/>
    </row>
    <row s="16563" customFormat="1" customHeight="1" ht="18.75">
      <c r="A37" s="1595"/>
      <c r="B37" s="1595"/>
      <c r="C37" s="1595"/>
      <c r="D37" s="1595"/>
      <c r="E37" s="1595"/>
      <c r="F37" s="1595"/>
      <c r="G37" s="1595"/>
      <c r="H37" s="1595"/>
      <c r="I37" s="1595"/>
      <c r="J37" s="1595"/>
      <c r="K37" s="1595"/>
      <c r="L37" s="1596"/>
      <c r="M37" s="1595"/>
      <c r="N37" s="1595"/>
      <c r="O37" s="1595"/>
      <c r="P37" s="1595"/>
      <c r="Q37" s="1595"/>
      <c r="S37" s="2379" t="s">
        <v>528</v>
      </c>
      <c r="T37" s="2379"/>
      <c r="U37" s="1599"/>
      <c r="V37" s="2381" t="str">
        <f>IF(TITLE_NUMBER_PR_CHANGE="",IF(TITLE_NUMBER_PR="","",TITLE_NUMBER_PR),TITLE_NUMBER_PR_CHANGE)</f>
        <v>27-2067</v>
      </c>
      <c r="W37" s="2381"/>
      <c r="X37" s="2381"/>
      <c r="Y37" s="2381"/>
      <c r="Z37" s="2381"/>
      <c r="AA37" s="2381"/>
      <c r="AB37" s="2381"/>
      <c r="AC37" s="548"/>
      <c r="AD37" s="2381" t="str">
        <f>IF(TITLE_NUMBER_PR_CHANGE="",IF(TITLE_NUMBER_PR="","",TITLE_NUMBER_PR),TITLE_NUMBER_PR_CHANGE)</f>
        <v>27-2067</v>
      </c>
      <c r="AE37" s="2381"/>
      <c r="AF37" s="2381"/>
      <c r="AG37" s="2381"/>
      <c r="AH37" s="2381"/>
      <c r="AI37" s="2381"/>
      <c r="AJ37" s="2381"/>
      <c r="AK37" s="2381"/>
      <c r="AL37" s="2381"/>
      <c r="AM37" s="2381"/>
      <c r="AN37" s="2381"/>
      <c r="AO37" s="2381"/>
      <c r="AP37" s="2381"/>
      <c r="AQ37" s="2381"/>
      <c r="AR37" s="2381"/>
      <c r="AS37" s="2381"/>
      <c r="AT37" s="2381"/>
      <c r="AU37" s="2381"/>
      <c r="AV37" s="2381"/>
      <c r="AW37" s="2381"/>
      <c r="AX37" s="2381"/>
      <c r="AY37" s="2381"/>
      <c r="AZ37" s="2381"/>
      <c r="BA37" s="548"/>
      <c r="BB37" s="548"/>
      <c r="BC37" s="502"/>
      <c r="BD37" s="590"/>
      <c r="BE37" s="590"/>
      <c r="BF37" s="590"/>
      <c r="BG37" s="590"/>
      <c r="BH37" s="590"/>
    </row>
    <row s="16563" customFormat="1" customHeight="1" ht="0">
      <c r="A38" s="1595"/>
      <c r="B38" s="1595"/>
      <c r="C38" s="1595"/>
      <c r="D38" s="1595"/>
      <c r="E38" s="1595"/>
      <c r="F38" s="1595"/>
      <c r="G38" s="1595"/>
      <c r="H38" s="1595"/>
      <c r="I38" s="1595"/>
      <c r="J38" s="1595"/>
      <c r="K38" s="1595"/>
      <c r="L38" s="1596"/>
      <c r="M38" s="1595"/>
      <c r="N38" s="1595"/>
      <c r="O38" s="1595"/>
      <c r="P38" s="1595"/>
      <c r="Q38" s="1595"/>
      <c r="S38" s="545"/>
      <c r="T38" s="545"/>
      <c r="U38" s="1715"/>
      <c r="V38" s="548"/>
      <c r="W38" s="548"/>
      <c r="X38" s="548"/>
      <c r="Y38" s="548"/>
      <c r="Z38" s="548"/>
      <c r="AA38" s="548"/>
      <c r="AB38" s="548"/>
      <c r="AC38" s="500" t="s">
        <v>531</v>
      </c>
      <c r="AD38" s="548"/>
      <c r="AE38" s="548"/>
      <c r="AF38" s="548"/>
      <c r="AG38" s="548"/>
      <c r="AH38" s="548"/>
      <c r="AI38" s="548"/>
      <c r="AJ38" s="548"/>
      <c r="AK38" s="548"/>
      <c r="AL38" s="548"/>
      <c r="AM38" s="548"/>
      <c r="AN38" s="548"/>
      <c r="AO38" s="548"/>
      <c r="AP38" s="548"/>
      <c r="AQ38" s="548"/>
      <c r="AR38" s="548"/>
      <c r="AS38" s="548"/>
      <c r="AT38" s="548"/>
      <c r="AU38" s="548"/>
      <c r="AV38" s="548"/>
      <c r="AW38" s="548"/>
      <c r="AX38" s="548"/>
      <c r="AY38" s="548"/>
      <c r="AZ38" s="548"/>
      <c r="BA38" s="500" t="s">
        <v>531</v>
      </c>
      <c r="BD38" s="590"/>
      <c r="BE38" s="590"/>
      <c r="BF38" s="590"/>
      <c r="BG38" s="590"/>
      <c r="BH38" s="590"/>
    </row>
    <row customHeight="1" ht="14.25">
      <c r="Q39" s="513"/>
      <c r="R39" s="598"/>
      <c r="S39" s="1502"/>
      <c r="T39" s="585"/>
      <c r="U39" s="1470"/>
      <c r="V39" s="2405"/>
      <c r="W39" s="2405"/>
      <c r="X39" s="2405"/>
      <c r="Y39" s="2405"/>
      <c r="Z39" s="2405"/>
      <c r="AA39" s="2405"/>
      <c r="AB39" s="2405"/>
      <c r="AC39" s="2405"/>
      <c r="AD39" s="2405"/>
      <c r="AE39" s="2405"/>
      <c r="AF39" s="2405"/>
      <c r="AG39" s="2405"/>
      <c r="AH39" s="2405"/>
      <c r="AI39" s="2405"/>
      <c r="AJ39" s="2405"/>
      <c r="AK39" s="2405"/>
      <c r="AL39" s="2405"/>
      <c r="AM39" s="2405"/>
      <c r="AN39" s="2405"/>
      <c r="AO39" s="2405"/>
      <c r="AP39" s="2405"/>
      <c r="AQ39" s="2405"/>
      <c r="AR39" s="2405"/>
      <c r="AS39" s="2405"/>
      <c r="AT39" s="2405"/>
      <c r="AU39" s="2405"/>
      <c r="AV39" s="2405"/>
      <c r="AW39" s="2405"/>
      <c r="AX39" s="2405"/>
      <c r="AY39" s="2405"/>
      <c r="AZ39" s="2405"/>
      <c r="BA39" s="2405"/>
    </row>
    <row customHeight="1" ht="14.25">
      <c r="Q40" s="513"/>
      <c r="R40" s="598"/>
      <c r="S40" s="2253" t="s">
        <v>406</v>
      </c>
      <c r="T40" s="2253"/>
      <c r="U40" s="2253"/>
      <c r="V40" s="2253"/>
      <c r="W40" s="2253"/>
      <c r="X40" s="2253"/>
      <c r="Y40" s="2253"/>
      <c r="Z40" s="2253"/>
      <c r="AA40" s="2253"/>
      <c r="AB40" s="2253"/>
      <c r="AC40" s="2253"/>
      <c r="AD40" s="2253"/>
      <c r="AE40" s="2253"/>
      <c r="AF40" s="2253"/>
      <c r="AG40" s="2253"/>
      <c r="AH40" s="2253"/>
      <c r="AI40" s="2253"/>
      <c r="AJ40" s="2253"/>
      <c r="AK40" s="2253"/>
      <c r="AL40" s="2253"/>
      <c r="AM40" s="2253"/>
      <c r="AN40" s="2253"/>
      <c r="AO40" s="2253"/>
      <c r="AP40" s="2253"/>
      <c r="AQ40" s="2253"/>
      <c r="AR40" s="2253"/>
      <c r="AS40" s="2253"/>
      <c r="AT40" s="2253"/>
      <c r="AU40" s="2253"/>
      <c r="AV40" s="2253"/>
      <c r="AW40" s="2253"/>
      <c r="AX40" s="2253"/>
      <c r="AY40" s="2253"/>
      <c r="AZ40" s="2253"/>
      <c r="BA40" s="2253"/>
      <c r="BB40" s="2253"/>
      <c r="BC40" s="2253" t="s">
        <v>407</v>
      </c>
    </row>
    <row customHeight="1" ht="14.25">
      <c r="Q41" s="513"/>
      <c r="R41" s="598"/>
      <c r="S41" s="2406" t="s">
        <v>84</v>
      </c>
      <c r="T41" s="2343" t="s">
        <v>611</v>
      </c>
      <c r="U41" s="523"/>
      <c r="V41" s="2407" t="s">
        <v>533</v>
      </c>
      <c r="W41" s="2408"/>
      <c r="X41" s="2408"/>
      <c r="Y41" s="2408"/>
      <c r="Z41" s="2408"/>
      <c r="AA41" s="2408"/>
      <c r="AB41" s="2409"/>
      <c r="AC41" s="2410" t="s">
        <v>534</v>
      </c>
      <c r="AD41" s="2454" t="s">
        <v>612</v>
      </c>
      <c r="AE41" s="2429"/>
      <c r="AF41" s="2429"/>
      <c r="AG41" s="2455"/>
      <c r="AH41" s="2454" t="s">
        <v>613</v>
      </c>
      <c r="AI41" s="2429"/>
      <c r="AJ41" s="2429"/>
      <c r="AK41" s="2455"/>
      <c r="AL41" s="2454" t="s">
        <v>614</v>
      </c>
      <c r="AM41" s="2429"/>
      <c r="AN41" s="2429"/>
      <c r="AO41" s="2455"/>
      <c r="AP41" s="2454" t="s">
        <v>615</v>
      </c>
      <c r="AQ41" s="2429"/>
      <c r="AR41" s="2429"/>
      <c r="AS41" s="2455"/>
      <c r="AT41" s="2407" t="s">
        <v>533</v>
      </c>
      <c r="AU41" s="2408"/>
      <c r="AV41" s="2408"/>
      <c r="AW41" s="2408"/>
      <c r="AX41" s="2408"/>
      <c r="AY41" s="2408"/>
      <c r="AZ41" s="2409"/>
      <c r="BA41" s="2410" t="s">
        <v>534</v>
      </c>
      <c r="BB41" s="2413" t="s">
        <v>536</v>
      </c>
      <c r="BC41" s="2253"/>
    </row>
    <row customHeight="1" ht="33.75">
      <c r="Q42" s="513"/>
      <c r="R42" s="598"/>
      <c r="S42" s="2406"/>
      <c r="T42" s="2343"/>
      <c r="U42" s="1254"/>
      <c r="V42" s="2311" t="s">
        <v>616</v>
      </c>
      <c r="W42" s="2312"/>
      <c r="X42" s="2311" t="s">
        <v>617</v>
      </c>
      <c r="Y42" s="2312"/>
      <c r="Z42" s="2427" t="s">
        <v>618</v>
      </c>
      <c r="AA42" s="2445"/>
      <c r="AB42" s="2446"/>
      <c r="AC42" s="2411"/>
      <c r="AD42" s="2456"/>
      <c r="AE42" s="2457"/>
      <c r="AF42" s="2457"/>
      <c r="AG42" s="2469"/>
      <c r="AH42" s="2456"/>
      <c r="AI42" s="2457"/>
      <c r="AJ42" s="2457"/>
      <c r="AK42" s="2469"/>
      <c r="AL42" s="2456"/>
      <c r="AM42" s="2457"/>
      <c r="AN42" s="2457"/>
      <c r="AO42" s="2469"/>
      <c r="AP42" s="2456"/>
      <c r="AQ42" s="2457"/>
      <c r="AR42" s="2457"/>
      <c r="AS42" s="2469"/>
      <c r="AT42" s="2311" t="s">
        <v>616</v>
      </c>
      <c r="AU42" s="2312"/>
      <c r="AV42" s="2311" t="s">
        <v>617</v>
      </c>
      <c r="AW42" s="2312"/>
      <c r="AX42" s="2427" t="s">
        <v>618</v>
      </c>
      <c r="AY42" s="2445"/>
      <c r="AZ42" s="2446"/>
      <c r="BA42" s="2411"/>
      <c r="BB42" s="2414"/>
      <c r="BC42" s="2253"/>
    </row>
    <row customHeight="1" ht="14.25">
      <c r="Q43" s="513"/>
      <c r="R43" s="598"/>
      <c r="S43" s="2406"/>
      <c r="T43" s="2343"/>
      <c r="U43" s="1254"/>
      <c r="V43" s="2319"/>
      <c r="W43" s="2320"/>
      <c r="X43" s="2319"/>
      <c r="Y43" s="2320"/>
      <c r="Z43" s="2428"/>
      <c r="AA43" s="2447"/>
      <c r="AB43" s="2448"/>
      <c r="AC43" s="2411"/>
      <c r="AD43" s="2456"/>
      <c r="AE43" s="2457"/>
      <c r="AF43" s="2457"/>
      <c r="AG43" s="2469"/>
      <c r="AH43" s="2456"/>
      <c r="AI43" s="2457"/>
      <c r="AJ43" s="2457"/>
      <c r="AK43" s="2469"/>
      <c r="AL43" s="2456"/>
      <c r="AM43" s="2457"/>
      <c r="AN43" s="2457"/>
      <c r="AO43" s="2469"/>
      <c r="AP43" s="2456"/>
      <c r="AQ43" s="2457"/>
      <c r="AR43" s="2457"/>
      <c r="AS43" s="2469"/>
      <c r="AT43" s="2319"/>
      <c r="AU43" s="2320"/>
      <c r="AV43" s="2319"/>
      <c r="AW43" s="2320"/>
      <c r="AX43" s="2428"/>
      <c r="AY43" s="2447"/>
      <c r="AZ43" s="2448"/>
      <c r="BA43" s="2411"/>
      <c r="BB43" s="2414"/>
      <c r="BC43" s="2253"/>
    </row>
    <row customHeight="1" ht="14.25">
      <c r="A44" s="1597"/>
      <c r="B44" s="1597" t="s">
        <v>191</v>
      </c>
      <c r="C44" s="1597" t="s">
        <v>192</v>
      </c>
      <c r="D44" s="1597" t="s">
        <v>193</v>
      </c>
      <c r="E44" s="1591" t="s">
        <v>541</v>
      </c>
      <c r="F44" s="1591" t="s">
        <v>542</v>
      </c>
      <c r="G44" s="1591" t="s">
        <v>543</v>
      </c>
      <c r="H44" s="1591" t="s">
        <v>544</v>
      </c>
      <c r="I44" s="1591" t="s">
        <v>545</v>
      </c>
      <c r="J44" s="1591" t="s">
        <v>546</v>
      </c>
      <c r="K44" s="1591" t="s">
        <v>547</v>
      </c>
      <c r="L44" s="1591" t="s">
        <v>522</v>
      </c>
      <c r="Q44" s="513"/>
      <c r="R44" s="598"/>
      <c r="S44" s="2406"/>
      <c r="T44" s="2343"/>
      <c r="U44" s="524"/>
      <c r="V44" s="1706" t="s">
        <v>582</v>
      </c>
      <c r="W44" s="1706" t="s">
        <v>583</v>
      </c>
      <c r="X44" s="1706" t="s">
        <v>582</v>
      </c>
      <c r="Y44" s="1706" t="s">
        <v>583</v>
      </c>
      <c r="Z44" s="1716" t="s">
        <v>550</v>
      </c>
      <c r="AA44" s="2402" t="s">
        <v>551</v>
      </c>
      <c r="AB44" s="2403"/>
      <c r="AC44" s="2412"/>
      <c r="AD44" s="2458"/>
      <c r="AE44" s="2459"/>
      <c r="AF44" s="2459"/>
      <c r="AG44" s="2460"/>
      <c r="AH44" s="2458"/>
      <c r="AI44" s="2459"/>
      <c r="AJ44" s="2459"/>
      <c r="AK44" s="2460"/>
      <c r="AL44" s="2458"/>
      <c r="AM44" s="2459"/>
      <c r="AN44" s="2459"/>
      <c r="AO44" s="2460"/>
      <c r="AP44" s="2458"/>
      <c r="AQ44" s="2459"/>
      <c r="AR44" s="2459"/>
      <c r="AS44" s="2460"/>
      <c r="AT44" s="1706" t="s">
        <v>582</v>
      </c>
      <c r="AU44" s="1706" t="s">
        <v>583</v>
      </c>
      <c r="AV44" s="1706" t="s">
        <v>582</v>
      </c>
      <c r="AW44" s="1706" t="s">
        <v>583</v>
      </c>
      <c r="AX44" s="1716" t="s">
        <v>550</v>
      </c>
      <c r="AY44" s="2402" t="s">
        <v>551</v>
      </c>
      <c r="AZ44" s="2403"/>
      <c r="BA44" s="2412"/>
      <c r="BB44" s="2415"/>
      <c r="BC44" s="2253"/>
    </row>
    <row s="16382" customFormat="1" customHeight="1" ht="0">
      <c r="A45" s="1597"/>
      <c r="B45" s="1597"/>
      <c r="C45" s="1597"/>
      <c r="D45" s="1597"/>
      <c r="E45" s="1597"/>
      <c r="F45" s="1597"/>
      <c r="G45" s="1597"/>
      <c r="H45" s="1597"/>
      <c r="I45" s="1597"/>
      <c r="J45" s="1597"/>
      <c r="K45" s="1597"/>
      <c r="L45" s="1591"/>
      <c r="M45" s="1589"/>
      <c r="N45" s="1589"/>
      <c r="O45" s="1589"/>
      <c r="P45" s="732"/>
      <c r="Q45" s="1480"/>
      <c r="R45" s="1480">
        <v>1</v>
      </c>
      <c r="S45" s="1504" t="s">
        <v>168</v>
      </c>
      <c r="T45" s="1481" t="s">
        <v>99</v>
      </c>
      <c r="U45" s="1471" t="str">
        <f>OFFSET(U45,0,-1)</f>
        <v>2</v>
      </c>
      <c r="V45" s="1709">
        <f>OFFSET(V45,0,-1)+1</f>
        <v>3</v>
      </c>
      <c r="W45" s="1709">
        <f>OFFSET(W45,0,-1)+1</f>
        <v>4</v>
      </c>
      <c r="X45" s="1709">
        <f>OFFSET(X45,0,-1)+1</f>
        <v>5</v>
      </c>
      <c r="Y45" s="1709">
        <f>OFFSET(Y45,0,-1)+1</f>
        <v>6</v>
      </c>
      <c r="Z45" s="1709">
        <f>OFFSET(Z45,0,-1)+1</f>
        <v>7</v>
      </c>
      <c r="AA45" s="2404">
        <f>OFFSET(AA45,0,-1)+1</f>
        <v>8</v>
      </c>
      <c r="AB45" s="2404"/>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04">
        <f>OFFSET(AY45,0,-1)+1</f>
        <v>3</v>
      </c>
      <c r="AZ45" s="2404"/>
      <c r="BA45" s="1709">
        <f>OFFSET(BA45,0,-2)+1</f>
        <v>4</v>
      </c>
      <c r="BB45" s="1471">
        <f>OFFSET(BB45,0,-1)</f>
        <v>4</v>
      </c>
      <c r="BC45" s="1709">
        <f>OFFSET(BC45,0,-1)+1</f>
        <v>5</v>
      </c>
      <c r="BD45" s="733"/>
      <c r="BE45" s="733"/>
      <c r="BF45" s="733"/>
      <c r="BG45" s="733"/>
      <c r="BH45" s="733"/>
    </row>
    <row customHeight="1" ht="21">
      <c r="A46" s="1590" t="s">
        <v>367</v>
      </c>
      <c r="B46" s="1590"/>
      <c r="C46" s="1590"/>
      <c r="D46" s="1590"/>
      <c r="E46" s="2388">
        <v>1</v>
      </c>
      <c r="F46" s="1590"/>
      <c r="G46" s="1590"/>
      <c r="H46" s="1590"/>
      <c r="I46" s="1590"/>
      <c r="J46" s="1590"/>
      <c r="K46" s="1590"/>
      <c r="L46" s="1591"/>
      <c r="M46" s="1592"/>
      <c r="N46" s="1592"/>
      <c r="O46" s="1592"/>
      <c r="P46" s="1636"/>
      <c r="Q46" s="1095"/>
      <c r="R46" s="577"/>
      <c r="S46" s="1720">
        <f>INDEX(PT_DIFFERENTIATION_NUM_NTAR,MATCH(A46,PT_DIFFERENTIATION_NTAR_ID,0))</f>
        <v>0</v>
      </c>
      <c r="T46" s="520" t="s">
        <v>179</v>
      </c>
      <c r="U46" s="522"/>
      <c r="V46" s="2383"/>
      <c r="W46" s="2383"/>
      <c r="X46" s="2383"/>
      <c r="Y46" s="2383"/>
      <c r="Z46" s="2383"/>
      <c r="AA46" s="2383"/>
      <c r="AB46" s="2383"/>
      <c r="AC46" s="2384"/>
      <c r="AD46" s="2382" t="str">
        <f>INDEX(PT_DIFFERENTIATION_NTAR,MATCH(A46,PT_DIFFERENTIATION_NTAR_ID,0))</f>
        <v/>
      </c>
      <c r="AE46" s="2383"/>
      <c r="AF46" s="2383"/>
      <c r="AG46" s="2383"/>
      <c r="AH46" s="2383"/>
      <c r="AI46" s="2383"/>
      <c r="AJ46" s="2383"/>
      <c r="AK46" s="2383"/>
      <c r="AL46" s="2383"/>
      <c r="AM46" s="2383"/>
      <c r="AN46" s="2383"/>
      <c r="AO46" s="2383"/>
      <c r="AP46" s="2383"/>
      <c r="AQ46" s="2383"/>
      <c r="AR46" s="2383"/>
      <c r="AS46" s="2383"/>
      <c r="AT46" s="2383"/>
      <c r="AU46" s="2383"/>
      <c r="AV46" s="2383"/>
      <c r="AW46" s="2383"/>
      <c r="AX46" s="2383"/>
      <c r="AY46" s="2383"/>
      <c r="AZ46" s="2383"/>
      <c r="BA46" s="2383"/>
      <c r="BB46" s="2384"/>
      <c r="BC46" s="14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2"/>
      <c r="BF46" s="722" t="str">
        <f>IF(T46="","",T46)</f>
        <v>Наименование тарифа</v>
      </c>
      <c r="BG46" s="722"/>
      <c r="BH46" s="722"/>
    </row>
    <row customHeight="1" ht="21">
      <c r="A47" s="1590" t="s">
        <v>367</v>
      </c>
      <c r="B47" s="1590" t="s">
        <v>368</v>
      </c>
      <c r="C47" s="1590"/>
      <c r="D47" s="1590"/>
      <c r="E47" s="2389"/>
      <c r="F47" s="2388">
        <v>1</v>
      </c>
      <c r="G47" s="1590"/>
      <c r="H47" s="1590"/>
      <c r="I47" s="1590"/>
      <c r="J47" s="1590"/>
      <c r="K47" s="1590"/>
      <c r="L47" s="1591"/>
      <c r="M47" s="1592"/>
      <c r="N47" s="1592"/>
      <c r="O47" s="1592"/>
      <c r="P47" s="1637"/>
      <c r="Q47" s="1638"/>
      <c r="R47" s="575"/>
      <c r="S47" s="1720" t="str">
        <f>INDEX(PT_DIFFERENTIATION_NUM_TER,MATCH(B47,PT_DIFFERENTIATION_TER_ID,0))</f>
        <v>.</v>
      </c>
      <c r="T47" s="530" t="s">
        <v>503</v>
      </c>
      <c r="U47" s="522"/>
      <c r="V47" s="2383"/>
      <c r="W47" s="2383"/>
      <c r="X47" s="2383"/>
      <c r="Y47" s="2383"/>
      <c r="Z47" s="2383"/>
      <c r="AA47" s="2383"/>
      <c r="AB47" s="2383"/>
      <c r="AC47" s="2384"/>
      <c r="AD47" s="2382" t="str">
        <f>INDEX(PT_DIFFERENTIATION_TER,MATCH(B47,PT_DIFFERENTIATION_TER_ID,0))</f>
        <v/>
      </c>
      <c r="AE47" s="2383"/>
      <c r="AF47" s="2383"/>
      <c r="AG47" s="2383"/>
      <c r="AH47" s="2383"/>
      <c r="AI47" s="2383"/>
      <c r="AJ47" s="2383"/>
      <c r="AK47" s="2383"/>
      <c r="AL47" s="2383"/>
      <c r="AM47" s="2383"/>
      <c r="AN47" s="2383"/>
      <c r="AO47" s="2383"/>
      <c r="AP47" s="2383"/>
      <c r="AQ47" s="2383"/>
      <c r="AR47" s="2383"/>
      <c r="AS47" s="2383"/>
      <c r="AT47" s="2383"/>
      <c r="AU47" s="2383"/>
      <c r="AV47" s="2383"/>
      <c r="AW47" s="2383"/>
      <c r="AX47" s="2383"/>
      <c r="AY47" s="2383"/>
      <c r="AZ47" s="2383"/>
      <c r="BA47" s="2383"/>
      <c r="BB47" s="2384"/>
      <c r="BC47" s="1484" t="s">
        <v>504</v>
      </c>
      <c r="BE47" s="722"/>
      <c r="BF47" s="722" t="str">
        <f>IF(T47="","",T47)</f>
        <v>Территория действия тарифа</v>
      </c>
      <c r="BG47" s="722"/>
      <c r="BH47" s="722"/>
    </row>
    <row customHeight="1" ht="33.75">
      <c r="A48" s="1590" t="s">
        <v>367</v>
      </c>
      <c r="B48" s="1590" t="s">
        <v>368</v>
      </c>
      <c r="C48" s="1590" t="s">
        <v>369</v>
      </c>
      <c r="D48" s="1590"/>
      <c r="E48" s="2389"/>
      <c r="F48" s="2389"/>
      <c r="G48" s="2388">
        <v>1</v>
      </c>
      <c r="H48" s="1590"/>
      <c r="I48" s="1590"/>
      <c r="J48" s="1590"/>
      <c r="K48" s="1590"/>
      <c r="L48" s="1591"/>
      <c r="M48" s="1592"/>
      <c r="N48" s="1592"/>
      <c r="O48" s="1592"/>
      <c r="P48" s="1639"/>
      <c r="Q48" s="1638"/>
      <c r="R48" s="575"/>
      <c r="S48" s="1720" t="str">
        <f>INDEX(PT_DIFFERENTIATION_NUM_CS,MATCH(C48,PT_DIFFERENTIATION_CS_ID,0))</f>
        <v>..</v>
      </c>
      <c r="T48" s="531" t="s">
        <v>634</v>
      </c>
      <c r="U48" s="522"/>
      <c r="V48" s="2383"/>
      <c r="W48" s="2383"/>
      <c r="X48" s="2383"/>
      <c r="Y48" s="2383"/>
      <c r="Z48" s="2383"/>
      <c r="AA48" s="2383"/>
      <c r="AB48" s="2383"/>
      <c r="AC48" s="2384"/>
      <c r="AD48" s="2382" t="str">
        <f>INDEX(PT_DIFFERENTIATION_CS,MATCH(C48,PT_DIFFERENTIATION_CS_ID,0))</f>
        <v/>
      </c>
      <c r="AE48" s="2383"/>
      <c r="AF48" s="2383"/>
      <c r="AG48" s="2383"/>
      <c r="AH48" s="2383"/>
      <c r="AI48" s="2383"/>
      <c r="AJ48" s="2383"/>
      <c r="AK48" s="2383"/>
      <c r="AL48" s="2383"/>
      <c r="AM48" s="2383"/>
      <c r="AN48" s="2383"/>
      <c r="AO48" s="2383"/>
      <c r="AP48" s="2383"/>
      <c r="AQ48" s="2383"/>
      <c r="AR48" s="2383"/>
      <c r="AS48" s="2383"/>
      <c r="AT48" s="2383"/>
      <c r="AU48" s="2383"/>
      <c r="AV48" s="2383"/>
      <c r="AW48" s="2383"/>
      <c r="AX48" s="2383"/>
      <c r="AY48" s="2383"/>
      <c r="AZ48" s="2383"/>
      <c r="BA48" s="2383"/>
      <c r="BB48" s="2384"/>
      <c r="BC48" s="1484" t="s">
        <v>635</v>
      </c>
      <c r="BE48" s="722"/>
      <c r="BF48" s="722" t="str">
        <f>IF(T48="","",T48)</f>
        <v>Наименование централизованной системы горячего водоснабжения</v>
      </c>
      <c r="BG48" s="722"/>
      <c r="BH48" s="722"/>
    </row>
    <row s="16622" customFormat="1" customHeight="1" ht="0">
      <c r="A49" s="1570" t="s">
        <v>367</v>
      </c>
      <c r="B49" s="1570" t="s">
        <v>368</v>
      </c>
      <c r="C49" s="1570" t="s">
        <v>369</v>
      </c>
      <c r="D49" s="1570" t="s">
        <v>650</v>
      </c>
      <c r="E49" s="2389"/>
      <c r="F49" s="2389"/>
      <c r="G49" s="2389"/>
      <c r="H49" s="2388">
        <v>1</v>
      </c>
      <c r="I49" s="1570"/>
      <c r="J49" s="1570"/>
      <c r="K49" s="1570"/>
      <c r="L49" s="1573"/>
      <c r="M49" s="1542"/>
      <c r="N49" s="1542"/>
      <c r="O49" s="1542"/>
      <c r="P49" s="1724"/>
      <c r="Q49" s="1725"/>
      <c r="R49" s="579"/>
      <c r="S49" s="1265"/>
      <c r="T49" s="1726"/>
      <c r="U49" s="1611"/>
      <c r="V49" s="2431"/>
      <c r="W49" s="2431"/>
      <c r="X49" s="2431"/>
      <c r="Y49" s="2431"/>
      <c r="Z49" s="2431"/>
      <c r="AA49" s="2431"/>
      <c r="AB49" s="2431"/>
      <c r="AC49" s="2432"/>
      <c r="AD49" s="2430"/>
      <c r="AE49" s="2431"/>
      <c r="AF49" s="2431"/>
      <c r="AG49" s="2431"/>
      <c r="AH49" s="2431"/>
      <c r="AI49" s="2431"/>
      <c r="AJ49" s="2431"/>
      <c r="AK49" s="2431"/>
      <c r="AL49" s="2431"/>
      <c r="AM49" s="2431"/>
      <c r="AN49" s="2431"/>
      <c r="AO49" s="2431"/>
      <c r="AP49" s="2431"/>
      <c r="AQ49" s="2431"/>
      <c r="AR49" s="2431"/>
      <c r="AS49" s="2431"/>
      <c r="AT49" s="2431"/>
      <c r="AU49" s="2431"/>
      <c r="AV49" s="2431"/>
      <c r="AW49" s="2431"/>
      <c r="AX49" s="2431"/>
      <c r="AY49" s="2431"/>
      <c r="AZ49" s="2431"/>
      <c r="BA49" s="2431"/>
      <c r="BB49" s="2432"/>
      <c r="BC49" s="1612" t="s">
        <v>508</v>
      </c>
      <c r="BE49" s="722"/>
      <c r="BF49" s="722" t="str">
        <f>IF(T49="","",T49)</f>
        <v/>
      </c>
      <c r="BG49" s="722"/>
      <c r="BH49" s="722"/>
    </row>
    <row s="16622" customFormat="1" customHeight="1" ht="0">
      <c r="A50" s="1570" t="s">
        <v>367</v>
      </c>
      <c r="B50" s="1570" t="s">
        <v>368</v>
      </c>
      <c r="C50" s="1570" t="s">
        <v>369</v>
      </c>
      <c r="D50" s="1570" t="s">
        <v>650</v>
      </c>
      <c r="E50" s="2389"/>
      <c r="F50" s="2389"/>
      <c r="G50" s="2389"/>
      <c r="H50" s="2389"/>
      <c r="I50" s="2390" t="str">
        <f>S49&amp;".1"</f>
        <v>.1</v>
      </c>
      <c r="J50" s="1570"/>
      <c r="K50" s="1570"/>
      <c r="L50" s="1573" t="s">
        <v>509</v>
      </c>
      <c r="M50" s="732"/>
      <c r="N50" s="732"/>
      <c r="O50" s="732"/>
      <c r="P50" s="2392">
        <v>1</v>
      </c>
      <c r="Q50" s="1708"/>
      <c r="R50" s="578"/>
      <c r="S50" s="1265"/>
      <c r="T50" s="1610"/>
      <c r="U50" s="1611"/>
      <c r="V50" s="2431"/>
      <c r="W50" s="2431"/>
      <c r="X50" s="2431"/>
      <c r="Y50" s="2431"/>
      <c r="Z50" s="2431"/>
      <c r="AA50" s="2431"/>
      <c r="AB50" s="2431"/>
      <c r="AC50" s="2432"/>
      <c r="AD50" s="2430"/>
      <c r="AE50" s="2431"/>
      <c r="AF50" s="2431"/>
      <c r="AG50" s="2431"/>
      <c r="AH50" s="2431"/>
      <c r="AI50" s="2431"/>
      <c r="AJ50" s="2431"/>
      <c r="AK50" s="2431"/>
      <c r="AL50" s="2431"/>
      <c r="AM50" s="2431"/>
      <c r="AN50" s="2431"/>
      <c r="AO50" s="2431"/>
      <c r="AP50" s="2431"/>
      <c r="AQ50" s="2431"/>
      <c r="AR50" s="2431"/>
      <c r="AS50" s="2431"/>
      <c r="AT50" s="2431"/>
      <c r="AU50" s="2431"/>
      <c r="AV50" s="2431"/>
      <c r="AW50" s="2431"/>
      <c r="AX50" s="2431"/>
      <c r="AY50" s="2431"/>
      <c r="AZ50" s="2431"/>
      <c r="BA50" s="2431"/>
      <c r="BB50" s="2432"/>
      <c r="BC50" s="1612"/>
      <c r="BE50" s="722"/>
      <c r="BF50" s="722" t="str">
        <f>IF(T50="","",T50)</f>
        <v/>
      </c>
      <c r="BG50" s="722"/>
      <c r="BH50" s="722"/>
    </row>
    <row s="16622" customFormat="1" customHeight="1" ht="0">
      <c r="A51" s="1570" t="s">
        <v>367</v>
      </c>
      <c r="B51" s="1570" t="s">
        <v>368</v>
      </c>
      <c r="C51" s="1570" t="s">
        <v>369</v>
      </c>
      <c r="D51" s="1570" t="s">
        <v>650</v>
      </c>
      <c r="E51" s="2389"/>
      <c r="F51" s="2389"/>
      <c r="G51" s="2389"/>
      <c r="H51" s="2389"/>
      <c r="I51" s="2391"/>
      <c r="J51" s="2390" t="str">
        <f>S49&amp;".1"</f>
        <v>.1</v>
      </c>
      <c r="K51" s="1570"/>
      <c r="L51" s="1573"/>
      <c r="M51" s="732"/>
      <c r="N51" s="732"/>
      <c r="O51" s="732"/>
      <c r="P51" s="2392"/>
      <c r="Q51" s="2392">
        <v>1</v>
      </c>
      <c r="R51" s="579"/>
      <c r="S51" s="1265"/>
      <c r="T51" s="1626"/>
      <c r="U51" s="1611"/>
      <c r="V51" s="2431"/>
      <c r="W51" s="2431"/>
      <c r="X51" s="2431"/>
      <c r="Y51" s="2431"/>
      <c r="Z51" s="2431"/>
      <c r="AA51" s="2431"/>
      <c r="AB51" s="2431"/>
      <c r="AC51" s="2432"/>
      <c r="AD51" s="2430"/>
      <c r="AE51" s="2431"/>
      <c r="AF51" s="2431"/>
      <c r="AG51" s="2431"/>
      <c r="AH51" s="2431"/>
      <c r="AI51" s="2431"/>
      <c r="AJ51" s="2431"/>
      <c r="AK51" s="2431"/>
      <c r="AL51" s="2431"/>
      <c r="AM51" s="2431"/>
      <c r="AN51" s="2491"/>
      <c r="AO51" s="2491"/>
      <c r="AP51" s="2431"/>
      <c r="AQ51" s="2431"/>
      <c r="AR51" s="2431"/>
      <c r="AS51" s="2431"/>
      <c r="AT51" s="2431"/>
      <c r="AU51" s="2431"/>
      <c r="AV51" s="2431"/>
      <c r="AW51" s="2431"/>
      <c r="AX51" s="2431"/>
      <c r="AY51" s="2431"/>
      <c r="AZ51" s="2431"/>
      <c r="BA51" s="2431"/>
      <c r="BB51" s="2432"/>
      <c r="BC51" s="1612"/>
      <c r="BE51" s="722"/>
      <c r="BF51" s="722" t="str">
        <f>IF(T51="","",T51)</f>
        <v/>
      </c>
      <c r="BG51" s="722"/>
      <c r="BH51" s="722"/>
    </row>
    <row customHeight="1" ht="11.25">
      <c r="A52" s="1590" t="s">
        <v>367</v>
      </c>
      <c r="B52" s="1590" t="s">
        <v>368</v>
      </c>
      <c r="C52" s="1590" t="s">
        <v>369</v>
      </c>
      <c r="D52" s="1590" t="s">
        <v>650</v>
      </c>
      <c r="E52" s="2389"/>
      <c r="F52" s="2389"/>
      <c r="G52" s="2389"/>
      <c r="H52" s="2389"/>
      <c r="I52" s="2391"/>
      <c r="J52" s="2391"/>
      <c r="K52" s="2390" t="str">
        <f>S48&amp;".1"</f>
        <v>...1</v>
      </c>
      <c r="L52" s="1591"/>
      <c r="P52" s="2392"/>
      <c r="Q52" s="2392"/>
      <c r="R52" s="579">
        <v>1</v>
      </c>
      <c r="S52" s="2465" t="str">
        <f>$K52</f>
        <v>...1</v>
      </c>
      <c r="T52" s="2485"/>
      <c r="U52" s="522"/>
      <c r="V52" s="973"/>
      <c r="W52" s="1483"/>
      <c r="X52" s="973"/>
      <c r="Y52" s="1483"/>
      <c r="Z52" s="1961"/>
      <c r="AA52" s="1696" t="s">
        <v>63</v>
      </c>
      <c r="AB52" s="1961"/>
      <c r="AC52" s="1696" t="s">
        <v>63</v>
      </c>
      <c r="AD52" s="2326" t="s">
        <v>63</v>
      </c>
      <c r="AE52" s="2461"/>
      <c r="AF52" s="2339">
        <v>1</v>
      </c>
      <c r="AG52" s="2484"/>
      <c r="AH52" s="2263" t="s">
        <v>63</v>
      </c>
      <c r="AI52" s="2461"/>
      <c r="AJ52" s="2339">
        <v>1</v>
      </c>
      <c r="AK52" s="2483" t="s">
        <v>24</v>
      </c>
      <c r="AL52" s="2263" t="s">
        <v>63</v>
      </c>
      <c r="AM52" s="2311"/>
      <c r="AN52" s="2339">
        <v>1</v>
      </c>
      <c r="AO52" s="2488"/>
      <c r="AP52" s="2489" t="s">
        <v>63</v>
      </c>
      <c r="AQ52" s="533"/>
      <c r="AR52" s="1713">
        <v>1</v>
      </c>
      <c r="AS52" s="1719" t="s">
        <v>24</v>
      </c>
      <c r="AT52" s="973"/>
      <c r="AU52" s="1483"/>
      <c r="AV52" s="973"/>
      <c r="AW52" s="1483"/>
      <c r="AX52" s="1961"/>
      <c r="AY52" s="1696" t="s">
        <v>63</v>
      </c>
      <c r="AZ52" s="1961"/>
      <c r="BA52" s="1696" t="s">
        <v>63</v>
      </c>
      <c r="BB52" s="1575"/>
      <c r="BC52" s="2418" t="s">
        <v>605</v>
      </c>
      <c r="BE52" s="722"/>
      <c r="BF52" s="722" t="str">
        <f>IF(T52="","",T52)</f>
        <v/>
      </c>
      <c r="BG52" s="722"/>
      <c r="BH52" s="722"/>
    </row>
    <row customHeight="1" ht="11.25">
      <c r="A53" s="1590"/>
      <c r="B53" s="1590"/>
      <c r="C53" s="1590"/>
      <c r="D53" s="1590"/>
      <c r="E53" s="2389"/>
      <c r="F53" s="2389"/>
      <c r="G53" s="2389"/>
      <c r="H53" s="2389"/>
      <c r="I53" s="2391"/>
      <c r="J53" s="2391"/>
      <c r="K53" s="2390"/>
      <c r="L53" s="1591"/>
      <c r="P53" s="2392"/>
      <c r="Q53" s="2392"/>
      <c r="R53" s="579"/>
      <c r="S53" s="2466"/>
      <c r="T53" s="2486"/>
      <c r="U53" s="522"/>
      <c r="V53" s="1620"/>
      <c r="W53" s="1723"/>
      <c r="X53" s="1620"/>
      <c r="Y53" s="1723"/>
      <c r="Z53" s="1620"/>
      <c r="AA53" s="1620"/>
      <c r="AB53" s="1620"/>
      <c r="AC53" s="1620"/>
      <c r="AD53" s="2327"/>
      <c r="AE53" s="2461"/>
      <c r="AF53" s="2339"/>
      <c r="AG53" s="2484"/>
      <c r="AH53" s="2263"/>
      <c r="AI53" s="2461"/>
      <c r="AJ53" s="2339"/>
      <c r="AK53" s="2483"/>
      <c r="AL53" s="2263"/>
      <c r="AM53" s="2319"/>
      <c r="AN53" s="2339"/>
      <c r="AO53" s="2488"/>
      <c r="AP53" s="2490"/>
      <c r="AQ53" s="538"/>
      <c r="AR53" s="638"/>
      <c r="AS53" s="638" t="s">
        <v>606</v>
      </c>
      <c r="AT53" s="1620"/>
      <c r="AU53" s="1723"/>
      <c r="AV53" s="1620"/>
      <c r="AW53" s="1723"/>
      <c r="AX53" s="1620"/>
      <c r="AY53" s="1620"/>
      <c r="AZ53" s="1620"/>
      <c r="BA53" s="1620"/>
      <c r="BB53" s="1624"/>
      <c r="BC53" s="2419"/>
      <c r="BE53" s="722"/>
      <c r="BF53" s="722"/>
      <c r="BG53" s="722"/>
      <c r="BH53" s="722"/>
    </row>
    <row customHeight="1" ht="11.25">
      <c r="A54" s="1590" t="s">
        <v>367</v>
      </c>
      <c r="B54" s="1590"/>
      <c r="C54" s="1590"/>
      <c r="D54" s="1590"/>
      <c r="E54" s="2389"/>
      <c r="F54" s="2389"/>
      <c r="G54" s="2389"/>
      <c r="H54" s="2389"/>
      <c r="I54" s="2391"/>
      <c r="J54" s="2391"/>
      <c r="K54" s="2390"/>
      <c r="L54" s="1591"/>
      <c r="P54" s="2392"/>
      <c r="Q54" s="2392"/>
      <c r="R54" s="579"/>
      <c r="S54" s="2466"/>
      <c r="T54" s="2486"/>
      <c r="U54" s="522"/>
      <c r="V54" s="1620"/>
      <c r="W54" s="1723"/>
      <c r="X54" s="1620"/>
      <c r="Y54" s="1723"/>
      <c r="Z54" s="1620"/>
      <c r="AA54" s="1620"/>
      <c r="AB54" s="1620"/>
      <c r="AC54" s="1620"/>
      <c r="AD54" s="2327"/>
      <c r="AE54" s="2461"/>
      <c r="AF54" s="2339"/>
      <c r="AG54" s="2484"/>
      <c r="AH54" s="2263"/>
      <c r="AI54" s="2461"/>
      <c r="AJ54" s="2339"/>
      <c r="AK54" s="2483"/>
      <c r="AL54" s="2263"/>
      <c r="AM54" s="538"/>
      <c r="AN54" s="1727"/>
      <c r="AO54" s="1727" t="s">
        <v>607</v>
      </c>
      <c r="AP54" s="638"/>
      <c r="AQ54" s="638"/>
      <c r="AR54" s="638"/>
      <c r="AS54" s="1620"/>
      <c r="AT54" s="1620"/>
      <c r="AU54" s="1723"/>
      <c r="AV54" s="1620"/>
      <c r="AW54" s="1723"/>
      <c r="AX54" s="1620"/>
      <c r="AY54" s="1620"/>
      <c r="AZ54" s="1620"/>
      <c r="BA54" s="1620"/>
      <c r="BB54" s="1624"/>
      <c r="BC54" s="2419"/>
      <c r="BE54" s="722"/>
      <c r="BF54" s="722"/>
      <c r="BG54" s="722"/>
      <c r="BH54" s="722"/>
    </row>
    <row customHeight="1" ht="11.25">
      <c r="A55" s="1590" t="s">
        <v>367</v>
      </c>
      <c r="B55" s="1590"/>
      <c r="C55" s="1590"/>
      <c r="D55" s="1590"/>
      <c r="E55" s="2389"/>
      <c r="F55" s="2389"/>
      <c r="G55" s="2389"/>
      <c r="H55" s="2389"/>
      <c r="I55" s="2391"/>
      <c r="J55" s="2391"/>
      <c r="K55" s="2390"/>
      <c r="L55" s="1591"/>
      <c r="P55" s="2392"/>
      <c r="Q55" s="2392"/>
      <c r="R55" s="579"/>
      <c r="S55" s="2466"/>
      <c r="T55" s="2486"/>
      <c r="U55" s="522"/>
      <c r="V55" s="1620"/>
      <c r="W55" s="1723"/>
      <c r="X55" s="1620"/>
      <c r="Y55" s="1723"/>
      <c r="Z55" s="1620"/>
      <c r="AA55" s="1620"/>
      <c r="AB55" s="1620"/>
      <c r="AC55" s="1620"/>
      <c r="AD55" s="2327"/>
      <c r="AE55" s="2461"/>
      <c r="AF55" s="2339"/>
      <c r="AG55" s="2484"/>
      <c r="AH55" s="2263"/>
      <c r="AI55" s="516"/>
      <c r="AJ55" s="637"/>
      <c r="AK55" s="535" t="s">
        <v>608</v>
      </c>
      <c r="AL55" s="1620"/>
      <c r="AM55" s="1620"/>
      <c r="AN55" s="1620"/>
      <c r="AO55" s="1620"/>
      <c r="AP55" s="1620"/>
      <c r="AQ55" s="1620"/>
      <c r="AR55" s="1620"/>
      <c r="AS55" s="1620"/>
      <c r="AT55" s="1620"/>
      <c r="AU55" s="1723"/>
      <c r="AV55" s="1620"/>
      <c r="AW55" s="1723"/>
      <c r="AX55" s="1620"/>
      <c r="AY55" s="1620"/>
      <c r="AZ55" s="1620"/>
      <c r="BA55" s="1620"/>
      <c r="BB55" s="1624"/>
      <c r="BC55" s="2419"/>
      <c r="BE55" s="722"/>
      <c r="BF55" s="722"/>
      <c r="BG55" s="722"/>
      <c r="BH55" s="722"/>
    </row>
    <row customHeight="1" ht="11.25">
      <c r="A56" s="1590" t="s">
        <v>367</v>
      </c>
      <c r="B56" s="1590" t="s">
        <v>368</v>
      </c>
      <c r="C56" s="1590" t="s">
        <v>369</v>
      </c>
      <c r="D56" s="1590" t="s">
        <v>650</v>
      </c>
      <c r="E56" s="2389"/>
      <c r="F56" s="2389"/>
      <c r="G56" s="2389"/>
      <c r="H56" s="2389"/>
      <c r="I56" s="2391"/>
      <c r="J56" s="2391"/>
      <c r="K56" s="2390"/>
      <c r="L56" s="1591"/>
      <c r="P56" s="2392"/>
      <c r="Q56" s="2392"/>
      <c r="R56" s="579"/>
      <c r="S56" s="2467"/>
      <c r="T56" s="2487"/>
      <c r="U56" s="522"/>
      <c r="V56" s="1620"/>
      <c r="W56" s="1621" t="str">
        <f>Z52&amp;"-"&amp;AB52</f>
        <v>-</v>
      </c>
      <c r="X56" s="1620"/>
      <c r="Y56" s="1621" t="str">
        <f>AB52&amp;"-"&amp;AD52</f>
        <v>-да</v>
      </c>
      <c r="Z56" s="1620"/>
      <c r="AA56" s="1620"/>
      <c r="AB56" s="1620"/>
      <c r="AC56" s="1620"/>
      <c r="AD56" s="2268"/>
      <c r="AE56" s="534"/>
      <c r="AF56" s="536"/>
      <c r="AG56" s="638" t="s">
        <v>609</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19"/>
      <c r="BE56" s="722"/>
      <c r="BF56" s="722" t="str">
        <f>IF(T56="","",T56)</f>
        <v/>
      </c>
      <c r="BG56" s="722"/>
      <c r="BH56" s="722"/>
    </row>
    <row customHeight="1" ht="11.25">
      <c r="A57" s="1590" t="s">
        <v>367</v>
      </c>
      <c r="B57" s="1590" t="s">
        <v>368</v>
      </c>
      <c r="C57" s="1590" t="s">
        <v>369</v>
      </c>
      <c r="D57" s="1590" t="s">
        <v>650</v>
      </c>
      <c r="E57" s="2389"/>
      <c r="F57" s="2389"/>
      <c r="G57" s="2389"/>
      <c r="H57" s="2389"/>
      <c r="I57" s="2391"/>
      <c r="J57" s="2390"/>
      <c r="K57" s="1590"/>
      <c r="L57" s="1591"/>
      <c r="P57" s="2392"/>
      <c r="Q57" s="2392"/>
      <c r="R57" s="578"/>
      <c r="S57" s="1505"/>
      <c r="T57" s="509" t="s">
        <v>571</v>
      </c>
      <c r="U57" s="589"/>
      <c r="V57" s="589"/>
      <c r="W57" s="589"/>
      <c r="X57" s="589"/>
      <c r="Y57" s="589"/>
      <c r="Z57" s="589"/>
      <c r="AA57" s="589"/>
      <c r="AB57" s="589"/>
      <c r="AC57" s="546"/>
      <c r="AD57" s="1732"/>
      <c r="AE57" s="589"/>
      <c r="AF57" s="589"/>
      <c r="AG57" s="589"/>
      <c r="AH57" s="589"/>
      <c r="AI57" s="589"/>
      <c r="AJ57" s="589"/>
      <c r="AK57" s="589"/>
      <c r="AL57" s="589"/>
      <c r="AM57" s="589"/>
      <c r="AN57" s="589"/>
      <c r="AO57" s="589"/>
      <c r="AP57" s="589"/>
      <c r="AQ57" s="589"/>
      <c r="AR57" s="589"/>
      <c r="AS57" s="589"/>
      <c r="AT57" s="589"/>
      <c r="AU57" s="589"/>
      <c r="AV57" s="589"/>
      <c r="AW57" s="589"/>
      <c r="AX57" s="589"/>
      <c r="AY57" s="589"/>
      <c r="AZ57" s="589"/>
      <c r="BA57" s="589"/>
      <c r="BB57" s="546"/>
      <c r="BC57" s="2420"/>
      <c r="BE57" s="722"/>
      <c r="BF57" s="722" t="str">
        <f>IF(T57="","",T57)</f>
        <v>Добавить строку</v>
      </c>
      <c r="BG57" s="722"/>
      <c r="BH57" s="722"/>
    </row>
    <row s="16622" customFormat="1" customHeight="1" ht="0">
      <c r="A58" s="1570" t="s">
        <v>367</v>
      </c>
      <c r="B58" s="1570" t="s">
        <v>368</v>
      </c>
      <c r="C58" s="1570" t="s">
        <v>369</v>
      </c>
      <c r="D58" s="1570" t="s">
        <v>650</v>
      </c>
      <c r="E58" s="2389"/>
      <c r="F58" s="2389"/>
      <c r="G58" s="2389"/>
      <c r="H58" s="2389"/>
      <c r="I58" s="2390"/>
      <c r="J58" s="1570"/>
      <c r="K58" s="1570"/>
      <c r="L58" s="1573"/>
      <c r="M58" s="732"/>
      <c r="N58" s="732"/>
      <c r="O58" s="732"/>
      <c r="P58" s="2392"/>
      <c r="Q58" s="1708"/>
      <c r="R58" s="578"/>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2"/>
      <c r="BF58" s="722" t="str">
        <f>IF(T58="","",T58)</f>
        <v/>
      </c>
      <c r="BG58" s="722"/>
      <c r="BH58" s="722"/>
    </row>
    <row s="16622" customFormat="1" customHeight="1" ht="0">
      <c r="A59" s="1570" t="s">
        <v>367</v>
      </c>
      <c r="B59" s="1570" t="s">
        <v>368</v>
      </c>
      <c r="C59" s="1570" t="s">
        <v>369</v>
      </c>
      <c r="D59" s="1570" t="s">
        <v>650</v>
      </c>
      <c r="E59" s="2389"/>
      <c r="F59" s="2389"/>
      <c r="G59" s="2389"/>
      <c r="H59" s="2388"/>
      <c r="I59" s="1570"/>
      <c r="J59" s="1570"/>
      <c r="K59" s="1570"/>
      <c r="L59" s="1573"/>
      <c r="M59" s="1542"/>
      <c r="N59" s="1542"/>
      <c r="O59" s="740"/>
      <c r="P59" s="602"/>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2"/>
      <c r="BF59" s="722" t="str">
        <f>IF(T59="","",T59)</f>
        <v/>
      </c>
      <c r="BG59" s="722"/>
      <c r="BH59" s="722"/>
    </row>
    <row s="16531" customFormat="1" customHeight="1" ht="0">
      <c r="A60" s="1570" t="s">
        <v>367</v>
      </c>
      <c r="B60" s="1570" t="s">
        <v>368</v>
      </c>
      <c r="C60" s="1570" t="s">
        <v>369</v>
      </c>
      <c r="D60" s="1541"/>
      <c r="E60" s="2389"/>
      <c r="F60" s="2389"/>
      <c r="G60" s="2388"/>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1"/>
      <c r="BF60" s="1011" t="str">
        <f>IF(T60="","",T60)</f>
        <v/>
      </c>
      <c r="BG60" s="1011"/>
      <c r="BH60" s="1011"/>
    </row>
    <row s="16531" customFormat="1" customHeight="1" ht="0">
      <c r="A61" s="1570" t="s">
        <v>367</v>
      </c>
      <c r="B61" s="1570" t="s">
        <v>368</v>
      </c>
      <c r="C61" s="1541"/>
      <c r="D61" s="1541"/>
      <c r="E61" s="2389"/>
      <c r="F61" s="2388"/>
      <c r="G61" s="1541"/>
      <c r="H61" s="1541"/>
      <c r="I61" s="1541"/>
      <c r="J61" s="1541"/>
      <c r="K61" s="1541"/>
      <c r="L61" s="1721"/>
      <c r="M61" s="1548"/>
      <c r="N61" s="1548"/>
      <c r="P61" s="1543"/>
      <c r="Q61" s="1544"/>
      <c r="R61" s="1543"/>
      <c r="S61" s="1549"/>
      <c r="T61" s="1552" t="s">
        <v>305</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1"/>
      <c r="BF61" s="1011" t="str">
        <f>IF(T61="","",T61)</f>
        <v>Добавить централизованную систему для дифференциации</v>
      </c>
      <c r="BG61" s="1011"/>
      <c r="BH61" s="1011"/>
    </row>
    <row s="16622" customFormat="1" customHeight="1" ht="0">
      <c r="A62" s="1570" t="s">
        <v>367</v>
      </c>
      <c r="B62" s="1570"/>
      <c r="C62" s="1570"/>
      <c r="D62" s="1570"/>
      <c r="E62" s="2388"/>
      <c r="F62" s="1570"/>
      <c r="G62" s="1570"/>
      <c r="H62" s="1570"/>
      <c r="I62" s="1570"/>
      <c r="J62" s="1570"/>
      <c r="K62" s="1570"/>
      <c r="L62" s="1573"/>
      <c r="M62" s="1548"/>
      <c r="N62" s="1548"/>
      <c r="O62" s="740"/>
      <c r="P62" s="602"/>
      <c r="Q62" s="1571"/>
      <c r="R62" s="602"/>
      <c r="S62" s="1549"/>
      <c r="T62" s="1552" t="s">
        <v>358</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2"/>
      <c r="BF62" s="722" t="str">
        <f>IF(T62="","",T62)</f>
        <v>Добавить территорию для дифференциации</v>
      </c>
      <c r="BG62" s="722"/>
      <c r="BH62" s="722"/>
    </row>
    <row s="16531"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359</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1"/>
      <c r="BF63" s="1011" t="str">
        <f>IF(T63="","",T63)</f>
        <v>Добавить наименование тарифа</v>
      </c>
      <c r="BG63" s="1011"/>
      <c r="BH63" s="1011"/>
    </row>
    <row customHeight="1" ht="11.25">
      <c r="M64" s="1384"/>
      <c r="N64" s="1384"/>
      <c r="O64" s="759"/>
      <c r="P64" s="1384"/>
      <c r="Q64" s="1384"/>
      <c r="R64" s="1379"/>
      <c r="S64" s="1379"/>
      <c r="BD64" s="1379"/>
      <c r="BE64" s="1379"/>
      <c r="BF64" s="1379"/>
      <c r="BG64" s="1379"/>
      <c r="BH64" s="1379"/>
    </row>
    <row customHeight="1" ht="18.75">
      <c r="O65" s="759"/>
      <c r="S65" s="1479"/>
      <c r="T65" s="2387"/>
      <c r="U65" s="2387"/>
      <c r="V65" s="2387"/>
      <c r="W65" s="2387"/>
      <c r="X65" s="2387"/>
      <c r="Y65" s="2387"/>
      <c r="Z65" s="2387"/>
      <c r="AA65" s="2387"/>
      <c r="AB65" s="2387"/>
      <c r="AC65" s="2387"/>
      <c r="AD65" s="2387"/>
      <c r="AE65" s="2387"/>
      <c r="AF65" s="2387"/>
      <c r="AG65" s="2387"/>
      <c r="AH65" s="2387"/>
      <c r="AI65" s="2387"/>
      <c r="AJ65" s="2387"/>
      <c r="AK65" s="2387"/>
      <c r="AL65" s="2387"/>
      <c r="AM65" s="2387"/>
      <c r="AN65" s="2387"/>
      <c r="AO65" s="2387"/>
      <c r="AP65" s="2387"/>
      <c r="AQ65" s="2387"/>
      <c r="AR65" s="2387"/>
      <c r="AS65" s="2387"/>
      <c r="AT65" s="2387"/>
      <c r="AU65" s="2387"/>
      <c r="AV65" s="2387"/>
      <c r="AW65" s="2387"/>
      <c r="AX65" s="2387"/>
      <c r="AY65" s="2387"/>
      <c r="AZ65" s="2387"/>
      <c r="BA65" s="2387"/>
      <c r="BB65" s="2387"/>
      <c r="BC65" s="2387"/>
    </row>
    <row customHeight="1" ht="14.25">
      <c r="O66" s="759"/>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row>
    <row customHeight="1" ht="18.75">
      <c r="O67" s="759"/>
      <c r="S67" s="1479"/>
      <c r="T67" s="2387"/>
      <c r="U67" s="2387"/>
      <c r="V67" s="2387"/>
      <c r="W67" s="2387"/>
      <c r="X67" s="2387"/>
      <c r="Y67" s="2387"/>
      <c r="Z67" s="2387"/>
      <c r="AA67" s="2387"/>
      <c r="AB67" s="2387"/>
      <c r="AC67" s="2387"/>
      <c r="AD67" s="2387"/>
      <c r="AE67" s="2387"/>
      <c r="AF67" s="2387"/>
      <c r="AG67" s="2387"/>
      <c r="AH67" s="2387"/>
      <c r="AI67" s="2387"/>
      <c r="AJ67" s="2387"/>
      <c r="AK67" s="2387"/>
      <c r="AL67" s="2387"/>
      <c r="AM67" s="2387"/>
      <c r="AN67" s="2387"/>
      <c r="AO67" s="2387"/>
      <c r="AP67" s="2387"/>
      <c r="AQ67" s="2387"/>
      <c r="AR67" s="2387"/>
      <c r="AS67" s="2387"/>
      <c r="AT67" s="2387"/>
      <c r="AU67" s="2387"/>
      <c r="AV67" s="2387"/>
      <c r="AW67" s="2387"/>
      <c r="AX67" s="2387"/>
      <c r="AY67" s="2387"/>
      <c r="AZ67" s="2387"/>
      <c r="BA67" s="2387"/>
      <c r="BB67" s="2387"/>
      <c r="BC67" s="2387"/>
    </row>
    <row customHeight="1" ht="14.25">
      <c r="O68" s="759"/>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545A88-290E-86BF-53F5-ED5ECFFAF9CE}"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21816" width="10.7109375" hidden="1" customWidth="1"/>
    <col min="2" max="2" style="16550" width="16.8515625" hidden="1" customWidth="1"/>
    <col min="3" max="3" style="16674" width="5.57421875" hidden="1" customWidth="1"/>
    <col min="4" max="4" style="21817" width="3.7109375" customWidth="1"/>
    <col min="5" max="5" style="16676" width="7.7109375" customWidth="1"/>
    <col min="6" max="6" style="16676" width="54.57421875" customWidth="1"/>
    <col min="7" max="7" style="16676" width="10.421875" customWidth="1"/>
    <col min="8" max="8" style="16676" width="40.7109375" hidden="1" customWidth="1"/>
    <col min="9" max="9" style="16676" width="40.7109375" customWidth="1"/>
    <col min="10" max="10" style="16676" width="102.8515625" customWidth="1"/>
    <col min="11" max="11" style="16550" width="9.7109375" customWidth="1"/>
    <col min="12" max="12" style="16674" width="5.28125" customWidth="1"/>
    <col min="13" max="13" style="16674" width="3.7109375" customWidth="1"/>
    <col min="14" max="17" style="16550" width="3.7109375" customWidth="1"/>
    <col min="18" max="18" style="16674" width="10.57421875" customWidth="1"/>
    <col min="19" max="19" style="16550" width="34.7109375" customWidth="1"/>
    <col min="20" max="20" style="16550" width="9.421875" customWidth="1"/>
    <col min="21" max="21" style="21818" width="9.140625"/>
    <col min="22" max="26" style="16550" width="9.140625"/>
    <col min="27" max="31" style="21720" width="9.140625"/>
  </cols>
  <sheetData>
    <row customHeight="1" ht="11.25" hidden="1"/>
    <row customHeight="1" ht="23.25" hidden="1">
      <c r="B2" s="2235"/>
      <c r="C2" s="1391" t="s">
        <v>651</v>
      </c>
      <c r="D2" s="1865"/>
      <c r="E2" s="768">
        <f>B2</f>
        <v>0</v>
      </c>
      <c r="F2" s="769"/>
      <c r="G2" s="1873" t="s">
        <v>652</v>
      </c>
      <c r="H2" s="1873" t="s">
        <v>652</v>
      </c>
      <c r="I2" s="1873" t="s">
        <v>652</v>
      </c>
      <c r="J2" s="511" t="s">
        <v>653</v>
      </c>
      <c r="K2" s="765"/>
    </row>
    <row s="16674" customFormat="1" customHeight="1" ht="0.75" hidden="1">
      <c r="B3" s="2235"/>
      <c r="C3" s="1391"/>
      <c r="D3" s="770"/>
      <c r="E3" s="771"/>
      <c r="F3" s="772" t="s">
        <v>654</v>
      </c>
      <c r="G3" s="773"/>
      <c r="H3" s="773">
        <f>H4*H5+H7</f>
        <v>0</v>
      </c>
      <c r="I3" s="773">
        <f>I4*I5+I6</f>
        <v>0</v>
      </c>
      <c r="J3" s="774"/>
    </row>
    <row customHeight="1" ht="23.25" hidden="1">
      <c r="B4" s="2235"/>
      <c r="C4" s="1391"/>
      <c r="D4" s="1865"/>
      <c r="E4" s="768" t="str">
        <f>B2&amp;".1"</f>
        <v>.1</v>
      </c>
      <c r="F4" s="775" t="s">
        <v>655</v>
      </c>
      <c r="G4" s="776"/>
      <c r="H4" s="763"/>
      <c r="I4" s="763"/>
      <c r="J4" s="511" t="s">
        <v>656</v>
      </c>
      <c r="K4" s="765"/>
    </row>
    <row customHeight="1" ht="18.75" hidden="1">
      <c r="B5" s="2235"/>
      <c r="C5" s="1391"/>
      <c r="D5" s="1865"/>
      <c r="E5" s="768" t="str">
        <f>B2&amp;".2"</f>
        <v>.2</v>
      </c>
      <c r="F5" s="775" t="s">
        <v>657</v>
      </c>
      <c r="G5" s="1873" t="s">
        <v>658</v>
      </c>
      <c r="H5" s="763"/>
      <c r="I5" s="763"/>
      <c r="J5" s="511"/>
      <c r="K5" s="765"/>
    </row>
    <row customHeight="1" ht="18.75" hidden="1">
      <c r="B6" s="2235"/>
      <c r="C6" s="1391"/>
      <c r="D6" s="1865"/>
      <c r="E6" s="768" t="str">
        <f>B2&amp;".3"</f>
        <v>.3</v>
      </c>
      <c r="F6" s="775" t="s">
        <v>659</v>
      </c>
      <c r="G6" s="1873" t="s">
        <v>658</v>
      </c>
      <c r="H6" s="763"/>
      <c r="I6" s="763"/>
      <c r="J6" s="511"/>
      <c r="K6" s="765"/>
    </row>
    <row customHeight="1" ht="18.75" hidden="1">
      <c r="B7" s="2235"/>
      <c r="C7" s="1391"/>
      <c r="D7" s="1865"/>
      <c r="E7" s="768" t="str">
        <f>B2&amp;".4"</f>
        <v>.4</v>
      </c>
      <c r="F7" s="775" t="s">
        <v>660</v>
      </c>
      <c r="G7" s="1873" t="s">
        <v>652</v>
      </c>
      <c r="H7" s="777"/>
      <c r="I7" s="777"/>
      <c r="J7" s="511"/>
      <c r="K7" s="765"/>
    </row>
    <row s="16550" customFormat="1" customHeight="1" ht="11.25" hidden="1">
      <c r="A8" s="1210"/>
      <c r="C8" s="1863"/>
      <c r="D8" s="759"/>
      <c r="H8" s="1384">
        <v>4</v>
      </c>
      <c r="I8" s="1384">
        <v>4</v>
      </c>
      <c r="L8" s="1863"/>
      <c r="M8" s="1863"/>
      <c r="R8" s="1863"/>
    </row>
    <row s="16550" customFormat="1" customHeight="1" ht="22.5" hidden="1">
      <c r="A9" s="1210"/>
      <c r="C9" s="1863"/>
      <c r="D9" s="760"/>
      <c r="E9" s="1875"/>
      <c r="F9" s="762"/>
      <c r="G9" s="1873" t="s">
        <v>658</v>
      </c>
      <c r="H9" s="763"/>
      <c r="I9" s="763"/>
      <c r="J9" s="764" t="s">
        <v>661</v>
      </c>
      <c r="K9" s="765"/>
      <c r="L9" s="1863"/>
      <c r="M9" s="1863"/>
      <c r="R9" s="1863"/>
      <c r="U9" s="766"/>
      <c r="AA9" s="1859"/>
      <c r="AB9" s="1859"/>
      <c r="AC9" s="1859"/>
      <c r="AD9" s="1859"/>
      <c r="AE9" s="1859"/>
    </row>
    <row customHeight="1" ht="11.25" hidden="1"/>
    <row customHeight="1" ht="18.75" hidden="1">
      <c r="D11" s="1865"/>
      <c r="E11" s="768"/>
      <c r="F11" s="762"/>
      <c r="G11" s="1873" t="s">
        <v>662</v>
      </c>
      <c r="H11" s="763"/>
      <c r="I11" s="763"/>
      <c r="J11" s="511" t="s">
        <v>663</v>
      </c>
      <c r="K11" s="765"/>
    </row>
    <row customHeight="1" ht="11.25" hidden="1"/>
    <row customHeight="1" ht="22.5" hidden="1">
      <c r="D13" s="1865"/>
      <c r="E13" s="768"/>
      <c r="F13" s="762"/>
      <c r="G13" s="1192" t="s">
        <v>664</v>
      </c>
      <c r="H13" s="767"/>
      <c r="I13" s="767"/>
      <c r="J13" s="967" t="s">
        <v>665</v>
      </c>
      <c r="K13" s="765"/>
    </row>
    <row customHeight="1" ht="11.25" hidden="1"/>
    <row customHeight="1" ht="22.5" hidden="1">
      <c r="D15" s="1865"/>
      <c r="E15" s="768"/>
      <c r="F15" s="762"/>
      <c r="G15" s="1873" t="s">
        <v>666</v>
      </c>
      <c r="H15" s="767"/>
      <c r="I15" s="767"/>
      <c r="J15" s="511" t="s">
        <v>667</v>
      </c>
      <c r="K15" s="765"/>
    </row>
    <row customHeight="1" ht="11.25" hidden="1"/>
    <row customHeight="1" ht="22.5" hidden="1">
      <c r="D17" s="1865"/>
      <c r="E17" s="768"/>
      <c r="F17" s="762"/>
      <c r="G17" s="1873" t="s">
        <v>668</v>
      </c>
      <c r="H17" s="767"/>
      <c r="I17" s="767"/>
      <c r="J17" s="511" t="s">
        <v>669</v>
      </c>
      <c r="K17" s="765"/>
    </row>
    <row customHeight="1" ht="11.25" hidden="1"/>
    <row s="21720" customFormat="1" customHeight="1" ht="11.25" hidden="1">
      <c r="A19" s="1210"/>
      <c r="B19" s="1384"/>
      <c r="C19" s="1863"/>
      <c r="D19" s="584"/>
      <c r="J19" s="1859">
        <v>4</v>
      </c>
      <c r="K19" s="1384"/>
      <c r="L19" s="1863"/>
      <c r="M19" s="1863"/>
      <c r="N19" s="1384"/>
      <c r="O19" s="1384"/>
      <c r="P19" s="1384"/>
      <c r="Q19" s="1384"/>
      <c r="R19" s="1863"/>
      <c r="S19" s="1384"/>
      <c r="T19" s="1384"/>
      <c r="U19" s="766"/>
      <c r="V19" s="1384"/>
      <c r="W19" s="1384"/>
      <c r="X19" s="1384"/>
      <c r="Y19" s="1384"/>
      <c r="Z19" s="1384"/>
    </row>
    <row r="21" customHeight="1" ht="24">
      <c r="E21" s="2421"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421"/>
      <c r="G21" s="2421"/>
      <c r="H21" s="2421"/>
      <c r="I21" s="2421"/>
      <c r="J21" s="778"/>
    </row>
    <row customHeight="1" ht="24">
      <c r="E22" s="2422" t="str">
        <f>IF(org=0,"Не определено",org)</f>
        <v>КГУП "Примтеплоэнерго"</v>
      </c>
      <c r="F22" s="2422"/>
      <c r="G22" s="2422"/>
      <c r="H22" s="2422"/>
      <c r="I22" s="2422"/>
    </row>
    <row customHeight="1" ht="11.25">
      <c r="E23" s="1359"/>
      <c r="F23" s="1359"/>
      <c r="G23" s="1359"/>
      <c r="H23" s="1359"/>
      <c r="I23" s="1359"/>
    </row>
    <row s="16674" customFormat="1" customHeight="1" ht="0.75">
      <c r="A24" s="1391"/>
      <c r="D24" s="1869"/>
      <c r="H24" s="1111"/>
      <c r="I24" s="1111" t="s">
        <v>173</v>
      </c>
    </row>
    <row customHeight="1" ht="11.25">
      <c r="E25" s="933"/>
      <c r="F25" s="2497" t="s">
        <v>164</v>
      </c>
      <c r="G25" s="2498"/>
      <c r="H25" s="1879" t="str">
        <f>IF(H24="","",INDEX(DIFFERENTIATION_UNMERGE_VD,MATCH(H24,DIFFERENTIATION_ID_DIFF,0)))</f>
        <v/>
      </c>
      <c r="I25" s="1879">
        <f>IF(I24="","",INDEX(DIFFERENTIATION_UNMERGE_VD,MATCH(I24,DIFFERENTIATION_ID_DIFF,0)))</f>
        <v>0</v>
      </c>
      <c r="J25" s="2253"/>
    </row>
    <row customHeight="1" ht="11.25">
      <c r="E26" s="933"/>
      <c r="F26" s="2497" t="s">
        <v>670</v>
      </c>
      <c r="G26" s="2498"/>
      <c r="H26" s="1879" t="str">
        <f>IF(H24="","",INDEX(DIFFERENTIATION_UNMERGE_AREA,MATCH(H24,DIFFERENTIATION_ID_DIFF,0)))</f>
        <v/>
      </c>
      <c r="I26" s="1879" t="str">
        <f>IF(I24="","",INDEX(DIFFERENTIATION_UNMERGE_AREA,MATCH(I24,DIFFERENTIATION_ID_DIFF,0)))</f>
        <v/>
      </c>
      <c r="J26" s="2253"/>
    </row>
    <row customHeight="1" ht="11.25">
      <c r="E27" s="933"/>
      <c r="F27" s="2497" t="s">
        <v>671</v>
      </c>
      <c r="G27" s="2498"/>
      <c r="H27" s="1879" t="str">
        <f>IF(H24="","",INDEX(DIFFERENTIATION_UNMERGE_SYSTEM,MATCH(H24,DIFFERENTIATION_ID_DIFF,0)))</f>
        <v/>
      </c>
      <c r="I27" s="1879" t="str">
        <f>IF(I24="","",INDEX(DIFFERENTIATION_UNMERGE_SYSTEM,MATCH(I24,DIFFERENTIATION_ID_DIFF,0)))</f>
        <v>без дифференциации</v>
      </c>
      <c r="J27" s="2253"/>
    </row>
    <row customHeight="1" ht="11.25">
      <c r="E28" s="2499" t="s">
        <v>406</v>
      </c>
      <c r="F28" s="2500"/>
      <c r="G28" s="2500"/>
      <c r="H28" s="1872"/>
      <c r="I28" s="1872"/>
      <c r="J28" s="2253"/>
    </row>
    <row customHeight="1" ht="22.5">
      <c r="E29" s="1873" t="s">
        <v>84</v>
      </c>
      <c r="F29" s="1880" t="s">
        <v>408</v>
      </c>
      <c r="G29" s="1880" t="s">
        <v>672</v>
      </c>
      <c r="H29" s="1880" t="s">
        <v>409</v>
      </c>
      <c r="I29" s="1880" t="s">
        <v>409</v>
      </c>
      <c r="J29" s="2253"/>
    </row>
    <row customHeight="1" ht="18.75">
      <c r="D30" s="1865"/>
      <c r="E30" s="768">
        <f>FHD_NUM_P_1</f>
        <v>1</v>
      </c>
      <c r="F30" s="2108" t="str">
        <f>FHD_P_1</f>
        <v>Выручка от регулируемых видов деятельности в сфере горячего водоснабжения</v>
      </c>
      <c r="G30" s="2106" t="s">
        <v>658</v>
      </c>
      <c r="H30" s="779"/>
      <c r="I30" s="779"/>
      <c r="J30" s="511" t="str">
        <f>FHD_NOTE_P_1</f>
        <v>Указывается выручка с распределением по видам деятельности.</v>
      </c>
      <c r="K30" s="765"/>
    </row>
    <row customHeight="1" ht="11.25">
      <c r="D31" s="1865"/>
      <c r="E31" s="768">
        <f>FHD_NUM_P_2</f>
        <v>2</v>
      </c>
      <c r="F31" s="2108" t="str">
        <f>FHD_P_2</f>
        <v>Себестоимость производимых товаров (оказываемых услуг) по регулируемым видам деятельности в сфере горячего водоснабжения, включая:</v>
      </c>
      <c r="G31" s="2106" t="s">
        <v>658</v>
      </c>
      <c r="H31" s="780">
        <f>SUMIF($K33:$K71,$K31,H33:H71)</f>
        <v>0</v>
      </c>
      <c r="I31" s="780">
        <f>SUMIF($K33:$K71,$K31,I33:I71)</f>
        <v>0</v>
      </c>
      <c r="J31" s="511" t="str">
        <f>FHD_NOTE_P_2</f>
        <v>Указывается суммарная себестоимость производимых товаров.</v>
      </c>
      <c r="K31" s="1863" t="s">
        <v>673</v>
      </c>
    </row>
    <row customHeight="1" ht="11.25">
      <c r="D32" s="1865"/>
      <c r="E32" s="768" t="str">
        <f>FHD_NUM_P_3</f>
        <v>2.1</v>
      </c>
      <c r="F32" s="1751" t="str">
        <f>FHD_P_3</f>
        <v>Расходы на приобретаемую тепловую энергию (мощность), используемую для горячего водоснабжения</v>
      </c>
      <c r="G32" s="2106" t="s">
        <v>658</v>
      </c>
      <c r="H32" s="779"/>
      <c r="I32" s="779"/>
      <c r="J32" s="511" t="str">
        <f>FHD_NOTE_P_3</f>
        <v/>
      </c>
      <c r="K32" s="1863" t="str">
        <f>IF((LEN(E32)-LEN(SUBSTITUTE(E32,".","")))/LEN(".")=1,"p","")</f>
        <v>p</v>
      </c>
    </row>
    <row customHeight="1" ht="11.25" hidden="1">
      <c r="A33" s="2494" t="s">
        <v>674</v>
      </c>
      <c r="D33" s="1865"/>
      <c r="E33" s="768" t="str">
        <f>FHD_NUM_P_4</f>
        <v/>
      </c>
      <c r="F33" s="1751" t="str">
        <f>FHD_P_4</f>
        <v/>
      </c>
      <c r="G33" s="2106" t="s">
        <v>658</v>
      </c>
      <c r="H33" s="780">
        <f>SUMIF($F34:$F40,$F3,H34:H40)</f>
        <v>0</v>
      </c>
      <c r="I33" s="780">
        <f>SUMIF($F34:$F40,$F3,I34:I40)</f>
        <v>0</v>
      </c>
      <c r="J33" s="511" t="str">
        <f>FHD_NOTE_P_4</f>
        <v/>
      </c>
      <c r="K33" s="1863" t="str">
        <f>IF((LEN(E33)-LEN(SUBSTITUTE(E33,".","")))/LEN(".")=1,"p","")</f>
        <v/>
      </c>
    </row>
    <row s="16671" customFormat="1" customHeight="1" ht="0.75" hidden="1">
      <c r="A34" s="2494"/>
      <c r="B34" s="2495" t="str">
        <f>E33&amp;".0"</f>
        <v>.0</v>
      </c>
      <c r="C34" s="1391"/>
      <c r="D34" s="782"/>
      <c r="E34" s="783"/>
      <c r="F34" s="784"/>
      <c r="G34" s="785"/>
      <c r="H34" s="719"/>
      <c r="I34" s="719"/>
      <c r="J34" s="786"/>
      <c r="K34" s="1863" t="str">
        <f>IF((LEN(E34)-LEN(SUBSTITUTE(E34,".","")))/LEN(".")=1,"p","")</f>
        <v/>
      </c>
      <c r="L34" s="1863"/>
      <c r="M34" s="1863"/>
      <c r="N34" s="1863"/>
      <c r="O34" s="1863"/>
      <c r="P34" s="1863"/>
      <c r="Q34" s="1863"/>
      <c r="R34" s="1863"/>
      <c r="S34" s="1863"/>
      <c r="T34" s="1863"/>
      <c r="U34" s="787"/>
      <c r="V34" s="1863"/>
      <c r="W34" s="1863"/>
      <c r="X34" s="1863"/>
      <c r="Y34" s="1863"/>
      <c r="Z34" s="1863"/>
      <c r="AA34" s="788"/>
      <c r="AB34" s="788"/>
      <c r="AC34" s="788"/>
      <c r="AD34" s="788"/>
      <c r="AE34" s="788"/>
    </row>
    <row s="16671" customFormat="1" customHeight="1" ht="0.75" hidden="1">
      <c r="A35" s="2494"/>
      <c r="B35" s="2495"/>
      <c r="C35" s="1391"/>
      <c r="D35" s="782"/>
      <c r="E35" s="789"/>
      <c r="F35" s="790"/>
      <c r="G35" s="785"/>
      <c r="H35" s="791"/>
      <c r="I35" s="791"/>
      <c r="J35" s="786"/>
      <c r="K35" s="1863" t="str">
        <f>IF((LEN(E35)-LEN(SUBSTITUTE(E35,".","")))/LEN(".")=1,"p","")</f>
        <v/>
      </c>
      <c r="L35" s="1863"/>
      <c r="M35" s="1863"/>
      <c r="N35" s="1863"/>
      <c r="O35" s="1863"/>
      <c r="P35" s="1863"/>
      <c r="Q35" s="1863"/>
      <c r="R35" s="1863"/>
      <c r="S35" s="1863"/>
      <c r="T35" s="1863"/>
      <c r="U35" s="787"/>
      <c r="V35" s="1863"/>
      <c r="W35" s="1863"/>
      <c r="X35" s="1863"/>
      <c r="Y35" s="1863"/>
      <c r="Z35" s="1863"/>
      <c r="AA35" s="788"/>
      <c r="AB35" s="788"/>
      <c r="AC35" s="788"/>
      <c r="AD35" s="788"/>
      <c r="AE35" s="788"/>
    </row>
    <row s="16671" customFormat="1" customHeight="1" ht="0.75" hidden="1">
      <c r="A36" s="2494"/>
      <c r="B36" s="2495"/>
      <c r="C36" s="1391"/>
      <c r="D36" s="782"/>
      <c r="E36" s="789"/>
      <c r="F36" s="790"/>
      <c r="G36" s="785"/>
      <c r="H36" s="791"/>
      <c r="I36" s="791"/>
      <c r="J36" s="786"/>
      <c r="K36" s="1863" t="str">
        <f>IF((LEN(E36)-LEN(SUBSTITUTE(E36,".","")))/LEN(".")=1,"p","")</f>
        <v/>
      </c>
      <c r="L36" s="1863"/>
      <c r="M36" s="1863"/>
      <c r="N36" s="1863"/>
      <c r="O36" s="1863"/>
      <c r="P36" s="1863"/>
      <c r="Q36" s="1863"/>
      <c r="R36" s="1863"/>
      <c r="S36" s="1863"/>
      <c r="T36" s="1863"/>
      <c r="U36" s="787"/>
      <c r="V36" s="1863"/>
      <c r="W36" s="1863"/>
      <c r="X36" s="1863"/>
      <c r="Y36" s="1863"/>
      <c r="Z36" s="1863"/>
      <c r="AA36" s="788"/>
      <c r="AB36" s="788"/>
      <c r="AC36" s="788"/>
      <c r="AD36" s="788"/>
      <c r="AE36" s="788"/>
    </row>
    <row s="16671" customFormat="1" customHeight="1" ht="0.75" hidden="1">
      <c r="A37" s="2494"/>
      <c r="B37" s="2495"/>
      <c r="C37" s="1391"/>
      <c r="D37" s="782"/>
      <c r="E37" s="789"/>
      <c r="F37" s="790"/>
      <c r="G37" s="785"/>
      <c r="H37" s="791"/>
      <c r="I37" s="791"/>
      <c r="J37" s="786"/>
      <c r="K37" s="1863" t="str">
        <f>IF((LEN(E37)-LEN(SUBSTITUTE(E37,".","")))/LEN(".")=1,"p","")</f>
        <v/>
      </c>
      <c r="L37" s="1863"/>
      <c r="M37" s="1863"/>
      <c r="N37" s="1863"/>
      <c r="O37" s="1863"/>
      <c r="P37" s="1863"/>
      <c r="Q37" s="1863"/>
      <c r="R37" s="1863"/>
      <c r="S37" s="1863"/>
      <c r="T37" s="1863"/>
      <c r="U37" s="787"/>
      <c r="V37" s="1863"/>
      <c r="W37" s="1863"/>
      <c r="X37" s="1863"/>
      <c r="Y37" s="1863"/>
      <c r="Z37" s="1863"/>
      <c r="AA37" s="788"/>
      <c r="AB37" s="788"/>
      <c r="AC37" s="788"/>
      <c r="AD37" s="788"/>
      <c r="AE37" s="788"/>
    </row>
    <row s="16671" customFormat="1" customHeight="1" ht="0.75" hidden="1">
      <c r="A38" s="2494"/>
      <c r="B38" s="2495"/>
      <c r="C38" s="1391"/>
      <c r="D38" s="782"/>
      <c r="E38" s="789"/>
      <c r="F38" s="790"/>
      <c r="G38" s="785"/>
      <c r="H38" s="791"/>
      <c r="I38" s="791"/>
      <c r="J38" s="786"/>
      <c r="K38" s="1863" t="str">
        <f>IF((LEN(E38)-LEN(SUBSTITUTE(E38,".","")))/LEN(".")=1,"p","")</f>
        <v/>
      </c>
      <c r="L38" s="1863"/>
      <c r="M38" s="1863"/>
      <c r="N38" s="1863"/>
      <c r="O38" s="1863"/>
      <c r="P38" s="1863"/>
      <c r="Q38" s="1863"/>
      <c r="R38" s="1863"/>
      <c r="S38" s="1863"/>
      <c r="T38" s="1863"/>
      <c r="U38" s="787"/>
      <c r="V38" s="1863"/>
      <c r="W38" s="1863"/>
      <c r="X38" s="1863"/>
      <c r="Y38" s="1863"/>
      <c r="Z38" s="1863"/>
      <c r="AA38" s="788"/>
      <c r="AB38" s="788"/>
      <c r="AC38" s="788"/>
      <c r="AD38" s="788"/>
      <c r="AE38" s="788"/>
    </row>
    <row s="16671" customFormat="1" customHeight="1" ht="0.75" hidden="1">
      <c r="A39" s="2494"/>
      <c r="B39" s="2495"/>
      <c r="C39" s="1391"/>
      <c r="D39" s="782"/>
      <c r="E39" s="789"/>
      <c r="F39" s="790"/>
      <c r="G39" s="785"/>
      <c r="H39" s="719"/>
      <c r="I39" s="719"/>
      <c r="J39" s="786"/>
      <c r="K39" s="1863" t="str">
        <f>IF((LEN(E39)-LEN(SUBSTITUTE(E39,".","")))/LEN(".")=1,"p","")</f>
        <v/>
      </c>
      <c r="L39" s="1863"/>
      <c r="M39" s="1863"/>
      <c r="N39" s="1863"/>
      <c r="O39" s="1863"/>
      <c r="P39" s="1863"/>
      <c r="Q39" s="1863"/>
      <c r="R39" s="1863"/>
      <c r="S39" s="1863"/>
      <c r="T39" s="1863"/>
      <c r="U39" s="787"/>
      <c r="V39" s="1863"/>
      <c r="W39" s="1863"/>
      <c r="X39" s="1863"/>
      <c r="Y39" s="1863"/>
      <c r="Z39" s="1863"/>
      <c r="AA39" s="788"/>
      <c r="AB39" s="788"/>
      <c r="AC39" s="788"/>
      <c r="AD39" s="788"/>
      <c r="AE39" s="788"/>
    </row>
    <row s="16550" customFormat="1" customHeight="1" ht="15" hidden="1">
      <c r="A40" s="2494"/>
      <c r="C40" s="1863"/>
      <c r="D40" s="1860"/>
      <c r="E40" s="792"/>
      <c r="F40" s="793" t="s">
        <v>675</v>
      </c>
      <c r="G40" s="794"/>
      <c r="H40" s="795"/>
      <c r="I40" s="795"/>
      <c r="J40" s="523"/>
      <c r="K40" s="1863" t="str">
        <f>IF((LEN(E40)-LEN(SUBSTITUTE(E40,".","")))/LEN(".")=1,"p","")</f>
        <v/>
      </c>
      <c r="L40" s="1863"/>
      <c r="M40" s="1863"/>
      <c r="R40" s="1863"/>
      <c r="U40" s="766"/>
      <c r="AA40" s="1859"/>
      <c r="AB40" s="1859"/>
      <c r="AC40" s="1859"/>
      <c r="AD40" s="1859"/>
      <c r="AE40" s="1859"/>
    </row>
    <row customHeight="1" ht="11.25">
      <c r="A41" s="2494" t="s">
        <v>676</v>
      </c>
      <c r="D41" s="1865"/>
      <c r="E41" s="768" t="str">
        <f>FHD_NUM_P_5</f>
        <v>2.2</v>
      </c>
      <c r="F41" s="1751" t="str">
        <f>FHD_P_5</f>
        <v>Расходы на тепловую энергию, производимую с применением собственных источников и используемую для горячего водоснабжения</v>
      </c>
      <c r="G41" s="2106" t="s">
        <v>658</v>
      </c>
      <c r="H41" s="779"/>
      <c r="I41" s="779"/>
      <c r="J41" s="511" t="str">
        <f>FHD_NOTE_P_5</f>
        <v/>
      </c>
      <c r="K41" s="1863" t="str">
        <f>IF((LEN(E41)-LEN(SUBSTITUTE(E41,".","")))/LEN(".")=1,"p","")</f>
        <v>p</v>
      </c>
    </row>
    <row customHeight="1" ht="11.25">
      <c r="A42" s="2494"/>
      <c r="D42" s="1865"/>
      <c r="E42" s="768" t="str">
        <f>FHD_NUM_P_6</f>
        <v>2.3</v>
      </c>
      <c r="F42" s="1751" t="str">
        <f>FHD_P_6</f>
        <v>Расходы на приобретаемую холодную воду, используемую для горячего водоснабжения</v>
      </c>
      <c r="G42" s="2106" t="s">
        <v>658</v>
      </c>
      <c r="H42" s="779"/>
      <c r="I42" s="779"/>
      <c r="J42" s="511" t="str">
        <f>FHD_NOTE_P_6</f>
        <v/>
      </c>
      <c r="K42" s="1863" t="str">
        <f>IF((LEN(E42)-LEN(SUBSTITUTE(E42,".","")))/LEN(".")=1,"p","")</f>
        <v>p</v>
      </c>
    </row>
    <row customHeight="1" ht="11.25">
      <c r="A43" s="2494"/>
      <c r="D43" s="1865"/>
      <c r="E43" s="768" t="str">
        <f>FHD_NUM_P_7</f>
        <v>2.4</v>
      </c>
      <c r="F43" s="1751"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2106" t="s">
        <v>658</v>
      </c>
      <c r="H43" s="779"/>
      <c r="I43" s="779"/>
      <c r="J43" s="511" t="str">
        <f>FHD_NOTE_P_7</f>
        <v/>
      </c>
      <c r="K43" s="1863" t="str">
        <f>IF((LEN(E43)-LEN(SUBSTITUTE(E43,".","")))/LEN(".")=1,"p","")</f>
        <v>p</v>
      </c>
    </row>
    <row customHeight="1" ht="11.25">
      <c r="D44" s="1865"/>
      <c r="E44" s="768" t="str">
        <f>FHD_NUM_P_8</f>
        <v>2.5</v>
      </c>
      <c r="F44" s="1751" t="str">
        <f>FHD_P_8</f>
        <v>Расходы на приобретаемую электрическую энергию (мощность), используемую в технологическом процессе</v>
      </c>
      <c r="G44" s="2106" t="s">
        <v>658</v>
      </c>
      <c r="H44" s="779"/>
      <c r="I44" s="779"/>
      <c r="J44" s="511" t="str">
        <f>FHD_NOTE_P_8</f>
        <v/>
      </c>
      <c r="K44" s="1863" t="str">
        <f>IF((LEN(E44)-LEN(SUBSTITUTE(E44,".","")))/LEN(".")=1,"p","")</f>
        <v>p</v>
      </c>
    </row>
    <row customHeight="1" ht="11.25">
      <c r="D45" s="1865"/>
      <c r="E45" s="768" t="str">
        <f>FHD_NUM_P_9</f>
        <v>2.5.1</v>
      </c>
      <c r="F45" s="1877" t="str">
        <f>FHD_P_9</f>
        <v>Средневзвешенная стоимость 1 кВт.ч (с учетом мощности)</v>
      </c>
      <c r="G45" s="2106" t="s">
        <v>677</v>
      </c>
      <c r="H45" s="779"/>
      <c r="I45" s="779"/>
      <c r="J45" s="511" t="str">
        <f>FHD_NOTE_P_9</f>
        <v/>
      </c>
      <c r="K45" s="1863" t="str">
        <f>IF((LEN(E45)-LEN(SUBSTITUTE(E45,".","")))/LEN(".")=1,"p","")</f>
        <v/>
      </c>
    </row>
    <row s="16550" customFormat="1" customHeight="1" ht="11.25">
      <c r="A46" s="1210"/>
      <c r="C46" s="1863"/>
      <c r="D46" s="796"/>
      <c r="E46" s="768" t="str">
        <f>FHD_NUM_P_10</f>
        <v>2.5.2</v>
      </c>
      <c r="F46" s="1877" t="str">
        <f>FHD_P_10</f>
        <v>Объём приобретения электрической энергии</v>
      </c>
      <c r="G46" s="2106" t="s">
        <v>678</v>
      </c>
      <c r="H46" s="779"/>
      <c r="I46" s="779"/>
      <c r="J46" s="511" t="str">
        <f>FHD_NOTE_P_10</f>
        <v/>
      </c>
      <c r="K46" s="1863" t="str">
        <f>IF((LEN(E46)-LEN(SUBSTITUTE(E46,".","")))/LEN(".")=1,"p","")</f>
        <v/>
      </c>
      <c r="L46" s="1863"/>
      <c r="M46" s="1863"/>
      <c r="R46" s="1863"/>
      <c r="U46" s="766"/>
      <c r="AA46" s="1859"/>
      <c r="AB46" s="1859"/>
      <c r="AC46" s="1859"/>
      <c r="AD46" s="1859"/>
      <c r="AE46" s="1859"/>
    </row>
    <row s="16550" customFormat="1" customHeight="1" ht="11.25" hidden="1">
      <c r="A47" s="1212" t="s">
        <v>679</v>
      </c>
      <c r="C47" s="1863"/>
      <c r="D47" s="797"/>
      <c r="E47" s="768" t="str">
        <f>FHD_NUM_P_11</f>
        <v/>
      </c>
      <c r="F47" s="1751" t="str">
        <f>FHD_P_11</f>
        <v/>
      </c>
      <c r="G47" s="2106" t="s">
        <v>658</v>
      </c>
      <c r="H47" s="779"/>
      <c r="I47" s="779"/>
      <c r="J47" s="511" t="str">
        <f>FHD_NOTE_P_11</f>
        <v/>
      </c>
      <c r="K47" s="1863" t="str">
        <f>IF((LEN(E47)-LEN(SUBSTITUTE(E47,".","")))/LEN(".")=1,"p","")</f>
        <v/>
      </c>
      <c r="L47" s="1863"/>
      <c r="M47" s="1863"/>
      <c r="R47" s="1863"/>
      <c r="U47" s="766"/>
      <c r="AA47" s="1859"/>
      <c r="AB47" s="1859"/>
      <c r="AC47" s="1859"/>
      <c r="AD47" s="1859"/>
      <c r="AE47" s="1859"/>
    </row>
    <row s="16550" customFormat="1" customHeight="1" ht="18" hidden="1">
      <c r="A48" s="1212" t="s">
        <v>680</v>
      </c>
      <c r="C48" s="1863"/>
      <c r="D48" s="1865"/>
      <c r="E48" s="768" t="str">
        <f>FHD_NUM_P_12</f>
        <v/>
      </c>
      <c r="F48" s="1751" t="str">
        <f>FHD_P_12</f>
        <v/>
      </c>
      <c r="G48" s="2106" t="s">
        <v>658</v>
      </c>
      <c r="H48" s="799"/>
      <c r="I48" s="799"/>
      <c r="J48" s="511" t="str">
        <f>FHD_NOTE_P_12</f>
        <v/>
      </c>
      <c r="K48" s="1863" t="str">
        <f>IF((LEN(E48)-LEN(SUBSTITUTE(E48,".","")))/LEN(".")=1,"p","")</f>
        <v/>
      </c>
      <c r="L48" s="1863"/>
      <c r="M48" s="1863"/>
      <c r="R48" s="1863"/>
      <c r="U48" s="766"/>
      <c r="AA48" s="1859"/>
      <c r="AB48" s="1859"/>
      <c r="AC48" s="1859"/>
      <c r="AD48" s="1859"/>
      <c r="AE48" s="1859"/>
    </row>
    <row s="21759" customFormat="1" customHeight="1" ht="11.25">
      <c r="A49" s="1211"/>
      <c r="C49" s="952"/>
      <c r="D49" s="895"/>
      <c r="E49" s="768" t="str">
        <f>FHD_NUM_P_13</f>
        <v>2.6</v>
      </c>
      <c r="F49" s="17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06" t="s">
        <v>658</v>
      </c>
      <c r="H49" s="779"/>
      <c r="I49" s="779"/>
      <c r="J49" s="511" t="str">
        <f>FHD_NOTE_P_13</f>
        <v>Указывается общая сумма расходов на оплату труда и отчислений на социальные нужды основного производственного персонала.</v>
      </c>
      <c r="K49" s="1863" t="str">
        <f>IF((LEN(E49)-LEN(SUBSTITUTE(E49,".","")))/LEN(".")=1,"p","")</f>
        <v>p</v>
      </c>
      <c r="L49" s="952"/>
      <c r="M49" s="952"/>
      <c r="R49" s="952"/>
      <c r="U49" s="953"/>
      <c r="AA49" s="954"/>
      <c r="AB49" s="954"/>
      <c r="AC49" s="954"/>
      <c r="AD49" s="954"/>
      <c r="AE49" s="954"/>
    </row>
    <row s="21759" customFormat="1" customHeight="1" ht="11.25">
      <c r="A50" s="1211"/>
      <c r="C50" s="952"/>
      <c r="D50" s="895"/>
      <c r="E50" s="768" t="str">
        <f>FHD_NUM_P_14</f>
        <v>2.6.1</v>
      </c>
      <c r="F50" s="1877" t="str">
        <f>FHD_P_14</f>
        <v>Расходы на оплату труда основного производственного персонала</v>
      </c>
      <c r="G50" s="2106" t="s">
        <v>658</v>
      </c>
      <c r="H50" s="779"/>
      <c r="I50" s="779"/>
      <c r="J50" s="511" t="str">
        <f>FHD_NOTE_P_14</f>
        <v/>
      </c>
      <c r="K50" s="1863" t="str">
        <f>IF((LEN(E50)-LEN(SUBSTITUTE(E50,".","")))/LEN(".")=1,"p","")</f>
        <v/>
      </c>
      <c r="L50" s="952"/>
      <c r="M50" s="952"/>
      <c r="R50" s="952"/>
      <c r="U50" s="953"/>
      <c r="AA50" s="954"/>
      <c r="AB50" s="954"/>
      <c r="AC50" s="954"/>
      <c r="AD50" s="954"/>
      <c r="AE50" s="954"/>
    </row>
    <row s="21759" customFormat="1" customHeight="1" ht="11.25">
      <c r="A51" s="1211"/>
      <c r="C51" s="952"/>
      <c r="D51" s="895"/>
      <c r="E51" s="768" t="str">
        <f>FHD_NUM_P_15</f>
        <v>2.6.2</v>
      </c>
      <c r="F51" s="1877" t="str">
        <f>FHD_P_15</f>
        <v>Страховые взносы на обязательное социальное страхование, выплачиваемые из фонда оплаты труда основного производственного персонала</v>
      </c>
      <c r="G51" s="2106" t="s">
        <v>658</v>
      </c>
      <c r="H51" s="779"/>
      <c r="I51" s="779"/>
      <c r="J51" s="511" t="str">
        <f>FHD_NOTE_P_15</f>
        <v/>
      </c>
      <c r="K51" s="1863" t="str">
        <f>IF((LEN(E51)-LEN(SUBSTITUTE(E51,".","")))/LEN(".")=1,"p","")</f>
        <v/>
      </c>
      <c r="L51" s="952"/>
      <c r="M51" s="952"/>
      <c r="R51" s="952"/>
      <c r="U51" s="953"/>
      <c r="AA51" s="954"/>
      <c r="AB51" s="954"/>
      <c r="AC51" s="954"/>
      <c r="AD51" s="954"/>
      <c r="AE51" s="954"/>
    </row>
    <row s="16550" customFormat="1" customHeight="1" ht="11.25">
      <c r="A52" s="1210"/>
      <c r="C52" s="1863"/>
      <c r="D52" s="1865"/>
      <c r="E52" s="768" t="str">
        <f>FHD_NUM_P_16</f>
        <v>2.7</v>
      </c>
      <c r="F52" s="17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06" t="s">
        <v>658</v>
      </c>
      <c r="H52" s="779"/>
      <c r="I52" s="779"/>
      <c r="J52" s="511" t="str">
        <f>FHD_NOTE_P_16</f>
        <v>Указывается общая сумма расходов на оплату труда и отчислений на социальные нужды административно-управленческого персонала.</v>
      </c>
      <c r="K52" s="1863" t="str">
        <f>IF((LEN(E52)-LEN(SUBSTITUTE(E52,".","")))/LEN(".")=1,"p","")</f>
        <v>p</v>
      </c>
      <c r="L52" s="1863"/>
      <c r="M52" s="1869"/>
      <c r="N52" s="759"/>
      <c r="O52" s="759"/>
      <c r="R52" s="1863"/>
      <c r="U52" s="766"/>
      <c r="AA52" s="1859"/>
      <c r="AB52" s="1859"/>
      <c r="AC52" s="1859"/>
      <c r="AD52" s="1859"/>
      <c r="AE52" s="1859"/>
    </row>
    <row s="16550" customFormat="1" customHeight="1" ht="11.25">
      <c r="A53" s="1210"/>
      <c r="C53" s="1863"/>
      <c r="D53" s="1865"/>
      <c r="E53" s="768" t="str">
        <f>FHD_NUM_P_17</f>
        <v>2.7.1</v>
      </c>
      <c r="F53" s="1877" t="str">
        <f>FHD_P_17</f>
        <v>Расходы на оплату труда административно-управленческого персонала</v>
      </c>
      <c r="G53" s="2106" t="s">
        <v>658</v>
      </c>
      <c r="H53" s="779"/>
      <c r="I53" s="779"/>
      <c r="J53" s="511" t="str">
        <f>FHD_NOTE_P_17</f>
        <v/>
      </c>
      <c r="K53" s="1863" t="str">
        <f>IF((LEN(E53)-LEN(SUBSTITUTE(E53,".","")))/LEN(".")=1,"p","")</f>
        <v/>
      </c>
      <c r="L53" s="1863"/>
      <c r="M53" s="1869"/>
      <c r="N53" s="759"/>
      <c r="O53" s="759"/>
      <c r="R53" s="1863"/>
      <c r="U53" s="766"/>
      <c r="AA53" s="1859"/>
      <c r="AB53" s="1859"/>
      <c r="AC53" s="1859"/>
      <c r="AD53" s="1859"/>
      <c r="AE53" s="1859"/>
    </row>
    <row s="16550" customFormat="1" customHeight="1" ht="11.25">
      <c r="A54" s="1210"/>
      <c r="C54" s="1863"/>
      <c r="D54" s="1865"/>
      <c r="E54" s="768" t="str">
        <f>FHD_NUM_P_18</f>
        <v>2.7.2</v>
      </c>
      <c r="F54" s="18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06" t="s">
        <v>658</v>
      </c>
      <c r="H54" s="779"/>
      <c r="I54" s="779"/>
      <c r="J54" s="511" t="str">
        <f>FHD_NOTE_P_18</f>
        <v/>
      </c>
      <c r="K54" s="1863" t="str">
        <f>IF((LEN(E54)-LEN(SUBSTITUTE(E54,".","")))/LEN(".")=1,"p","")</f>
        <v/>
      </c>
      <c r="L54" s="1863"/>
      <c r="M54" s="1869"/>
      <c r="N54" s="759"/>
      <c r="O54" s="759"/>
      <c r="R54" s="1863"/>
      <c r="U54" s="766"/>
      <c r="AA54" s="1859"/>
      <c r="AB54" s="1859"/>
      <c r="AC54" s="1859"/>
      <c r="AD54" s="1859"/>
      <c r="AE54" s="1859"/>
    </row>
    <row s="16550" customFormat="1" customHeight="1" ht="11.25">
      <c r="A55" s="1210"/>
      <c r="C55" s="1863"/>
      <c r="D55" s="797"/>
      <c r="E55" s="768" t="str">
        <f>FHD_NUM_P_19</f>
        <v>2.8</v>
      </c>
      <c r="F55" s="1751" t="str">
        <f>FHD_P_19</f>
        <v>Расходы на амортизацию основных средств и нематериальных активов</v>
      </c>
      <c r="G55" s="2106" t="s">
        <v>658</v>
      </c>
      <c r="H55" s="779"/>
      <c r="I55" s="779"/>
      <c r="J55" s="511" t="str">
        <f>FHD_NOTE_P_19</f>
        <v/>
      </c>
      <c r="K55" s="1863" t="str">
        <f>IF((LEN(E55)-LEN(SUBSTITUTE(E55,".","")))/LEN(".")=1,"p","")</f>
        <v>p</v>
      </c>
      <c r="L55" s="1863"/>
      <c r="M55" s="1863"/>
      <c r="R55" s="1863"/>
      <c r="U55" s="766"/>
      <c r="AA55" s="1859"/>
      <c r="AB55" s="1859"/>
      <c r="AC55" s="1859"/>
      <c r="AD55" s="1859"/>
      <c r="AE55" s="1859"/>
    </row>
    <row s="16550" customFormat="1" customHeight="1" ht="11.25">
      <c r="A56" s="1210"/>
      <c r="C56" s="1863"/>
      <c r="D56" s="797"/>
      <c r="E56" s="768" t="str">
        <f>FHD_NUM_P_20</f>
        <v>2.8.1</v>
      </c>
      <c r="F56" s="1877" t="str">
        <f>FHD_P_20</f>
        <v>Расходы на амортизацию основных средств</v>
      </c>
      <c r="G56" s="2106" t="s">
        <v>658</v>
      </c>
      <c r="H56" s="779"/>
      <c r="I56" s="779"/>
      <c r="J56" s="511" t="str">
        <f>FHD_NOTE_P_20</f>
        <v/>
      </c>
      <c r="K56" s="1863" t="str">
        <f>IF((LEN(E56)-LEN(SUBSTITUTE(E56,".","")))/LEN(".")=1,"p","")</f>
        <v/>
      </c>
      <c r="L56" s="1863"/>
      <c r="M56" s="1863"/>
      <c r="R56" s="1863"/>
      <c r="U56" s="766"/>
      <c r="AA56" s="1859"/>
      <c r="AB56" s="1859"/>
      <c r="AC56" s="1859"/>
      <c r="AD56" s="1859"/>
      <c r="AE56" s="1859"/>
    </row>
    <row s="16550" customFormat="1" customHeight="1" ht="11.25">
      <c r="A57" s="1210"/>
      <c r="C57" s="1863"/>
      <c r="D57" s="797"/>
      <c r="E57" s="768" t="str">
        <f>FHD_NUM_P_21</f>
        <v>2.8.2</v>
      </c>
      <c r="F57" s="1877" t="str">
        <f>FHD_P_21</f>
        <v>Расходы на амортизацию нематериальных активов</v>
      </c>
      <c r="G57" s="2106" t="s">
        <v>658</v>
      </c>
      <c r="H57" s="779"/>
      <c r="I57" s="779"/>
      <c r="J57" s="511" t="str">
        <f>FHD_NOTE_P_21</f>
        <v/>
      </c>
      <c r="K57" s="1863" t="str">
        <f>IF((LEN(E57)-LEN(SUBSTITUTE(E57,".","")))/LEN(".")=1,"p","")</f>
        <v/>
      </c>
      <c r="L57" s="1863"/>
      <c r="M57" s="1863"/>
      <c r="R57" s="1863"/>
      <c r="U57" s="766"/>
      <c r="AA57" s="1859"/>
      <c r="AB57" s="1859"/>
      <c r="AC57" s="1859"/>
      <c r="AD57" s="1859"/>
      <c r="AE57" s="1859"/>
    </row>
    <row s="16550" customFormat="1" customHeight="1" ht="11.25">
      <c r="A58" s="1210"/>
      <c r="C58" s="1863"/>
      <c r="D58" s="1865"/>
      <c r="E58" s="768" t="str">
        <f>FHD_NUM_P_22</f>
        <v>2.9</v>
      </c>
      <c r="F58" s="1751" t="str">
        <f>FHD_P_22</f>
        <v>Расходы на аренду имущества, используемого для осуществления регулируемых видов деятельности в сфере горячего водоснабжения</v>
      </c>
      <c r="G58" s="2106" t="s">
        <v>658</v>
      </c>
      <c r="H58" s="779"/>
      <c r="I58" s="779"/>
      <c r="J58" s="511" t="str">
        <f>FHD_NOTE_P_22</f>
        <v/>
      </c>
      <c r="K58" s="1863" t="str">
        <f>IF((LEN(E58)-LEN(SUBSTITUTE(E58,".","")))/LEN(".")=1,"p","")</f>
        <v>p</v>
      </c>
      <c r="L58" s="1863"/>
      <c r="M58" s="1863"/>
      <c r="R58" s="1863"/>
      <c r="U58" s="766"/>
      <c r="AA58" s="1859"/>
      <c r="AB58" s="1859"/>
      <c r="AC58" s="1859"/>
      <c r="AD58" s="1859"/>
      <c r="AE58" s="1859"/>
    </row>
    <row s="16550" customFormat="1" customHeight="1" ht="11.25">
      <c r="A59" s="1210"/>
      <c r="C59" s="1863"/>
      <c r="D59" s="797"/>
      <c r="E59" s="768" t="str">
        <f>FHD_NUM_P_23</f>
        <v>2.10</v>
      </c>
      <c r="F59" s="1751" t="str">
        <f>FHD_P_23</f>
        <v>Общепроизводственные расходы, в том числе:</v>
      </c>
      <c r="G59" s="2106" t="s">
        <v>658</v>
      </c>
      <c r="H59" s="779"/>
      <c r="I59" s="779"/>
      <c r="J59" s="511" t="str">
        <f>FHD_NOTE_P_23</f>
        <v>Указывается общая сумма общепроизводственных расходов.</v>
      </c>
      <c r="K59" s="1863" t="str">
        <f>IF((LEN(E59)-LEN(SUBSTITUTE(E59,".","")))/LEN(".")=1,"p","")</f>
        <v>p</v>
      </c>
      <c r="L59" s="1863"/>
      <c r="M59" s="1863"/>
      <c r="R59" s="1863"/>
      <c r="U59" s="766"/>
      <c r="AA59" s="1859"/>
      <c r="AB59" s="1859"/>
      <c r="AC59" s="1859"/>
      <c r="AD59" s="1859"/>
      <c r="AE59" s="1859"/>
    </row>
    <row s="16550" customFormat="1" customHeight="1" ht="11.25">
      <c r="A60" s="1210"/>
      <c r="C60" s="1863"/>
      <c r="D60" s="797"/>
      <c r="E60" s="768" t="str">
        <f>FHD_NUM_P_24</f>
        <v>2.10.1</v>
      </c>
      <c r="F60" s="1877" t="str">
        <f>FHD_P_24</f>
        <v>Расходы на текущий ремонт</v>
      </c>
      <c r="G60" s="2106" t="s">
        <v>658</v>
      </c>
      <c r="H60" s="779"/>
      <c r="I60" s="779"/>
      <c r="J60" s="511" t="str">
        <f>FHD_NOTE_P_24</f>
        <v>Указываются расходы на текущий ремонт, отнесенные к общепроизводственным расходам.</v>
      </c>
      <c r="K60" s="1863" t="str">
        <f>IF((LEN(E60)-LEN(SUBSTITUTE(E60,".","")))/LEN(".")=1,"p","")</f>
        <v/>
      </c>
      <c r="L60" s="1863"/>
      <c r="M60" s="1863"/>
      <c r="R60" s="1863"/>
      <c r="U60" s="766"/>
      <c r="AA60" s="1859"/>
      <c r="AB60" s="1859"/>
      <c r="AC60" s="1859"/>
      <c r="AD60" s="1859"/>
      <c r="AE60" s="1859"/>
    </row>
    <row s="16550" customFormat="1" customHeight="1" ht="11.25">
      <c r="A61" s="1210"/>
      <c r="C61" s="1863"/>
      <c r="D61" s="797"/>
      <c r="E61" s="768" t="str">
        <f>FHD_NUM_P_25</f>
        <v>2.10.2</v>
      </c>
      <c r="F61" s="1877" t="str">
        <f>FHD_P_25</f>
        <v>Расходы на капитальный ремонт</v>
      </c>
      <c r="G61" s="2106" t="s">
        <v>658</v>
      </c>
      <c r="H61" s="779"/>
      <c r="I61" s="779"/>
      <c r="J61" s="511" t="str">
        <f>FHD_NOTE_P_25</f>
        <v>Указываются расходы на капитальный ремонт, отнесенные к общепроизводственным расходам.</v>
      </c>
      <c r="K61" s="1863" t="str">
        <f>IF((LEN(E61)-LEN(SUBSTITUTE(E61,".","")))/LEN(".")=1,"p","")</f>
        <v/>
      </c>
      <c r="L61" s="1863"/>
      <c r="M61" s="1863"/>
      <c r="R61" s="1863"/>
      <c r="U61" s="766"/>
      <c r="AA61" s="1859"/>
      <c r="AB61" s="1859"/>
      <c r="AC61" s="1859"/>
      <c r="AD61" s="1859"/>
      <c r="AE61" s="1859"/>
    </row>
    <row s="16550" customFormat="1" customHeight="1" ht="11.25">
      <c r="A62" s="1210"/>
      <c r="C62" s="1863"/>
      <c r="D62" s="1865"/>
      <c r="E62" s="768" t="str">
        <f>FHD_NUM_P_26</f>
        <v>2.11</v>
      </c>
      <c r="F62" s="1751" t="str">
        <f>FHD_P_26</f>
        <v>Общехозяйственные расходы, в том числе:</v>
      </c>
      <c r="G62" s="2106" t="s">
        <v>658</v>
      </c>
      <c r="H62" s="779"/>
      <c r="I62" s="779"/>
      <c r="J62" s="511" t="str">
        <f>FHD_NOTE_P_26</f>
        <v>Указывается общая сумма общехозяйственных расходов.</v>
      </c>
      <c r="K62" s="1863" t="str">
        <f>IF((LEN(E62)-LEN(SUBSTITUTE(E62,".","")))/LEN(".")=1,"p","")</f>
        <v>p</v>
      </c>
      <c r="L62" s="1863"/>
      <c r="M62" s="1863"/>
      <c r="R62" s="1863"/>
      <c r="U62" s="766"/>
      <c r="AA62" s="1859"/>
      <c r="AB62" s="1859"/>
      <c r="AC62" s="1859"/>
      <c r="AD62" s="1859"/>
      <c r="AE62" s="1859"/>
    </row>
    <row s="16550" customFormat="1" customHeight="1" ht="11.25">
      <c r="A63" s="1210"/>
      <c r="C63" s="1863"/>
      <c r="D63" s="1865"/>
      <c r="E63" s="768" t="str">
        <f>FHD_NUM_P_27</f>
        <v>2.11.1</v>
      </c>
      <c r="F63" s="1877" t="str">
        <f>FHD_P_27</f>
        <v>Расходы на текущий ремонт</v>
      </c>
      <c r="G63" s="2106" t="s">
        <v>658</v>
      </c>
      <c r="H63" s="779"/>
      <c r="I63" s="779"/>
      <c r="J63" s="511" t="str">
        <f>FHD_NOTE_P_27</f>
        <v>Указываются расходы на текущий ремонт, отнесенные к общехозяйственным расходам.</v>
      </c>
      <c r="K63" s="1863" t="str">
        <f>IF((LEN(E63)-LEN(SUBSTITUTE(E63,".","")))/LEN(".")=1,"p","")</f>
        <v/>
      </c>
      <c r="L63" s="1863"/>
      <c r="M63" s="1863"/>
      <c r="R63" s="1863"/>
      <c r="U63" s="766"/>
      <c r="AA63" s="1859"/>
      <c r="AB63" s="1859"/>
      <c r="AC63" s="1859"/>
      <c r="AD63" s="1859"/>
      <c r="AE63" s="1859"/>
    </row>
    <row s="16550" customFormat="1" customHeight="1" ht="11.25">
      <c r="A64" s="1210"/>
      <c r="C64" s="1863"/>
      <c r="D64" s="1865"/>
      <c r="E64" s="768" t="str">
        <f>FHD_NUM_P_28</f>
        <v>2.11.2</v>
      </c>
      <c r="F64" s="1877" t="str">
        <f>FHD_P_28</f>
        <v>Расходы на капитальный ремонт</v>
      </c>
      <c r="G64" s="2106" t="s">
        <v>658</v>
      </c>
      <c r="H64" s="779"/>
      <c r="I64" s="779"/>
      <c r="J64" s="511" t="str">
        <f>FHD_NOTE_P_28</f>
        <v>Указываются расходы на капитальный ремонт, отнесенные к общехозяйственным расходам.</v>
      </c>
      <c r="K64" s="1863" t="str">
        <f>IF((LEN(E64)-LEN(SUBSTITUTE(E64,".","")))/LEN(".")=1,"p","")</f>
        <v/>
      </c>
      <c r="L64" s="1863"/>
      <c r="M64" s="1863"/>
      <c r="R64" s="1863"/>
      <c r="U64" s="766"/>
      <c r="AA64" s="1859"/>
      <c r="AB64" s="1859"/>
      <c r="AC64" s="1859"/>
      <c r="AD64" s="1859"/>
      <c r="AE64" s="1859"/>
    </row>
    <row s="16550" customFormat="1" customHeight="1" ht="11.25">
      <c r="A65" s="1210"/>
      <c r="C65" s="1863"/>
      <c r="D65" s="1865"/>
      <c r="E65" s="768" t="str">
        <f>FHD_NUM_P_29</f>
        <v>2.12</v>
      </c>
      <c r="F65" s="1751" t="str">
        <f>FHD_P_29</f>
        <v>Расходы на капитальный и текущий ремонт основных средств</v>
      </c>
      <c r="G65" s="2106" t="s">
        <v>658</v>
      </c>
      <c r="H65" s="779"/>
      <c r="I65" s="779"/>
      <c r="J65" s="51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63" t="str">
        <f>IF((LEN(E65)-LEN(SUBSTITUTE(E65,".","")))/LEN(".")=1,"p","")</f>
        <v>p</v>
      </c>
      <c r="L65" s="1863"/>
      <c r="M65" s="1863"/>
      <c r="R65" s="1863"/>
      <c r="U65" s="766"/>
      <c r="AA65" s="1859"/>
      <c r="AB65" s="1859"/>
      <c r="AC65" s="1859"/>
      <c r="AD65" s="1859"/>
      <c r="AE65" s="1859"/>
    </row>
    <row s="16550" customFormat="1" customHeight="1" ht="11.25">
      <c r="A66" s="1210"/>
      <c r="C66" s="1863"/>
      <c r="D66" s="1865"/>
      <c r="E66" s="768" t="str">
        <f>FHD_NUM_P_30</f>
        <v>2.12.1</v>
      </c>
      <c r="F66" s="18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06" t="s">
        <v>412</v>
      </c>
      <c r="H66" s="1876" t="s">
        <v>681</v>
      </c>
      <c r="I66" s="1876" t="s">
        <v>681</v>
      </c>
      <c r="J66" s="511" t="str">
        <f>FHD_NOTE_P_30</f>
        <v/>
      </c>
      <c r="K66" s="1863" t="str">
        <f>IF((LEN(E66)-LEN(SUBSTITUTE(E66,".","")))/LEN(".")=1,"p","")</f>
        <v/>
      </c>
      <c r="L66" s="1863">
        <f>_xlfn.IFERROR(MATCH("есть",B_FHD_FLAG_INDEX_1,0),0)</f>
        <v>0</v>
      </c>
      <c r="M66" s="1863"/>
      <c r="R66" s="1863"/>
      <c r="U66" s="766"/>
      <c r="AA66" s="1859"/>
      <c r="AB66" s="1859"/>
      <c r="AC66" s="1859"/>
      <c r="AD66" s="1859"/>
      <c r="AE66" s="1859"/>
    </row>
    <row s="16550" customFormat="1" customHeight="1" ht="22.5">
      <c r="A67" s="2494" t="s">
        <v>682</v>
      </c>
      <c r="C67" s="1863"/>
      <c r="D67" s="1865"/>
      <c r="E67" s="768" t="str">
        <f>FHD_NUM_P_31</f>
        <v>2.13</v>
      </c>
      <c r="F67" s="175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106" t="s">
        <v>658</v>
      </c>
      <c r="H67" s="779"/>
      <c r="I67" s="779"/>
      <c r="J67" s="51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63" t="str">
        <f>IF((LEN(E67)-LEN(SUBSTITUTE(E67,".","")))/LEN(".")=1,"p","")</f>
        <v>p</v>
      </c>
      <c r="L67" s="1863"/>
      <c r="M67" s="1863"/>
      <c r="R67" s="1863"/>
      <c r="U67" s="766"/>
      <c r="AA67" s="1859"/>
      <c r="AB67" s="1859"/>
      <c r="AC67" s="1859"/>
      <c r="AD67" s="1859"/>
      <c r="AE67" s="1859"/>
    </row>
    <row s="16550" customFormat="1" customHeight="1" ht="45">
      <c r="A68" s="2494"/>
      <c r="C68" s="1863"/>
      <c r="D68" s="1865"/>
      <c r="E68" s="768" t="str">
        <f>FHD_NUM_P_32</f>
        <v>2.13.1</v>
      </c>
      <c r="F68" s="18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106" t="s">
        <v>412</v>
      </c>
      <c r="H68" s="1876" t="s">
        <v>681</v>
      </c>
      <c r="I68" s="1876" t="s">
        <v>681</v>
      </c>
      <c r="J68" s="511" t="str">
        <f>FHD_NOTE_P_32</f>
        <v/>
      </c>
      <c r="K68" s="1863" t="str">
        <f>IF((LEN(E68)-LEN(SUBSTITUTE(E68,".","")))/LEN(".")=1,"p","")</f>
        <v/>
      </c>
      <c r="L68" s="1863">
        <f>_xlfn.IFERROR(MATCH("есть",B_FHD_FLAG_INDEX_2,0),0)</f>
        <v>0</v>
      </c>
      <c r="M68" s="1863"/>
      <c r="R68" s="1863"/>
      <c r="U68" s="766"/>
      <c r="AA68" s="1859"/>
      <c r="AB68" s="1859"/>
      <c r="AC68" s="1859"/>
      <c r="AD68" s="1859"/>
      <c r="AE68" s="1859"/>
    </row>
    <row s="16550" customFormat="1" customHeight="1" ht="11.25">
      <c r="A69" s="1210"/>
      <c r="C69" s="1863"/>
      <c r="D69" s="1865"/>
      <c r="E69" s="768" t="str">
        <f>FHD_NUM_P_33</f>
        <v>2.14</v>
      </c>
      <c r="F69" s="1751"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2107" t="s">
        <v>658</v>
      </c>
      <c r="H69" s="801">
        <f>SUM(H70:H71)</f>
        <v>0</v>
      </c>
      <c r="I69" s="801">
        <f>SUM(I70:I71)</f>
        <v>0</v>
      </c>
      <c r="J69" s="51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63" t="str">
        <f>IF((LEN(E69)-LEN(SUBSTITUTE(E69,".","")))/LEN(".")=1,"p","")</f>
        <v>p</v>
      </c>
      <c r="L69" s="1863"/>
      <c r="M69" s="1863"/>
      <c r="R69" s="1863"/>
      <c r="U69" s="766"/>
      <c r="AA69" s="1859"/>
      <c r="AB69" s="1859"/>
      <c r="AC69" s="1859"/>
      <c r="AD69" s="1859"/>
      <c r="AE69" s="1859"/>
    </row>
    <row s="16674" customFormat="1" customHeight="1" ht="0.75">
      <c r="A70" s="1391"/>
      <c r="D70" s="770"/>
      <c r="E70" s="1236" t="str">
        <f>E69&amp;".0"</f>
        <v>2.14.0</v>
      </c>
      <c r="F70" s="1214"/>
      <c r="G70" s="1236"/>
      <c r="H70" s="1215"/>
      <c r="I70" s="1215"/>
      <c r="J70" s="1216"/>
      <c r="K70" s="1863" t="str">
        <f>IF((LEN(E70)-LEN(SUBSTITUTE(E70,".","")))/LEN(".")=1,"p","")</f>
        <v/>
      </c>
    </row>
    <row s="16550" customFormat="1" customHeight="1" ht="14.25">
      <c r="A71" s="1210"/>
      <c r="C71" s="1863"/>
      <c r="D71" s="1860"/>
      <c r="E71" s="792"/>
      <c r="F71" s="793" t="s">
        <v>683</v>
      </c>
      <c r="G71" s="794"/>
      <c r="H71" s="795"/>
      <c r="I71" s="795"/>
      <c r="J71" s="523"/>
      <c r="K71" s="1863"/>
      <c r="L71" s="1863"/>
      <c r="M71" s="1863"/>
      <c r="R71" s="1863"/>
      <c r="U71" s="766"/>
      <c r="AA71" s="1859"/>
      <c r="AB71" s="1859"/>
      <c r="AC71" s="1859"/>
      <c r="AD71" s="1859"/>
      <c r="AE71" s="1859"/>
    </row>
    <row s="16550" customFormat="1" customHeight="1" ht="18.75" hidden="1">
      <c r="A72" s="1212" t="s">
        <v>684</v>
      </c>
      <c r="C72" s="1863"/>
      <c r="D72" s="1865"/>
      <c r="E72" s="768" t="str">
        <f>FHD_NUM_P_34</f>
        <v/>
      </c>
      <c r="F72" s="2108" t="str">
        <f>FHD_P_34</f>
        <v/>
      </c>
      <c r="G72" s="2106" t="s">
        <v>658</v>
      </c>
      <c r="H72" s="779"/>
      <c r="I72" s="779"/>
      <c r="J72" s="511" t="str">
        <f>FHD_NOTE_P_34</f>
        <v/>
      </c>
      <c r="K72" s="765"/>
      <c r="L72" s="1863"/>
      <c r="M72" s="1863"/>
      <c r="R72" s="1863"/>
      <c r="U72" s="766"/>
      <c r="AA72" s="1859"/>
      <c r="AB72" s="1859"/>
      <c r="AC72" s="1859"/>
      <c r="AD72" s="1859"/>
      <c r="AE72" s="1859"/>
    </row>
    <row s="16550" customFormat="1" customHeight="1" ht="18.75">
      <c r="A73" s="1210"/>
      <c r="C73" s="1863"/>
      <c r="D73" s="797"/>
      <c r="E73" s="768" t="str">
        <f>FHD_NUM_P_35</f>
        <v>3</v>
      </c>
      <c r="F73" s="2108" t="str">
        <f>FHD_P_35</f>
        <v>Чистая прибыль, полученная от регулируемого вида деятельности в сфере горячего водоснабжения, в том числе:</v>
      </c>
      <c r="G73" s="2106" t="s">
        <v>658</v>
      </c>
      <c r="H73" s="779"/>
      <c r="I73" s="779"/>
      <c r="J73" s="511" t="str">
        <f>FHD_NOTE_P_35</f>
        <v>Указывается общая сумма чистой прибыли, полученной от регулируемого вида деятельности.</v>
      </c>
      <c r="K73" s="765"/>
      <c r="L73" s="1863"/>
      <c r="M73" s="1863"/>
      <c r="R73" s="1863"/>
      <c r="U73" s="766"/>
      <c r="AA73" s="1859"/>
      <c r="AB73" s="1859"/>
      <c r="AC73" s="1859"/>
      <c r="AD73" s="1859"/>
      <c r="AE73" s="1859"/>
    </row>
    <row s="16550" customFormat="1" customHeight="1" ht="18.75">
      <c r="A74" s="1210"/>
      <c r="C74" s="1863"/>
      <c r="D74" s="1865"/>
      <c r="E74" s="768" t="str">
        <f>FHD_NUM_P_36</f>
        <v>3.1</v>
      </c>
      <c r="F74" s="17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06" t="s">
        <v>658</v>
      </c>
      <c r="H74" s="779"/>
      <c r="I74" s="779"/>
      <c r="J74" s="511" t="str">
        <f>FHD_NOTE_P_36</f>
        <v/>
      </c>
      <c r="K74" s="765"/>
      <c r="L74" s="1863"/>
      <c r="M74" s="1863"/>
      <c r="R74" s="1863"/>
      <c r="U74" s="766"/>
      <c r="AA74" s="1859"/>
      <c r="AB74" s="1859"/>
      <c r="AC74" s="1859"/>
      <c r="AD74" s="1859"/>
      <c r="AE74" s="1859"/>
    </row>
    <row s="16550" customFormat="1" customHeight="1" ht="18.75">
      <c r="A75" s="1210"/>
      <c r="C75" s="1863"/>
      <c r="D75" s="1865"/>
      <c r="E75" s="768" t="str">
        <f>FHD_NUM_P_37</f>
        <v>4</v>
      </c>
      <c r="F75" s="2108" t="str">
        <f>FHD_P_37</f>
        <v>Изменение стоимости основных фондов, в том числе:</v>
      </c>
      <c r="G75" s="2106" t="s">
        <v>658</v>
      </c>
      <c r="H75" s="779"/>
      <c r="I75" s="779"/>
      <c r="J75" s="511" t="str">
        <f>FHD_NOTE_P_37</f>
        <v>Указывается общее изменение стоимости основных фондов.</v>
      </c>
      <c r="K75" s="765"/>
      <c r="L75" s="1863"/>
      <c r="M75" s="1863"/>
      <c r="R75" s="1863"/>
      <c r="U75" s="766"/>
      <c r="AA75" s="1859"/>
      <c r="AB75" s="1859"/>
      <c r="AC75" s="1859"/>
      <c r="AD75" s="1859"/>
      <c r="AE75" s="1859"/>
    </row>
    <row s="16550" customFormat="1" customHeight="1" ht="18.75">
      <c r="A76" s="1210"/>
      <c r="C76" s="1863"/>
      <c r="D76" s="1865"/>
      <c r="E76" s="768" t="str">
        <f>FHD_NUM_P_38</f>
        <v>4.1</v>
      </c>
      <c r="F76" s="1751" t="str">
        <f>FHD_P_38</f>
        <v>Изменение стоимости основных фондов за счет их ввода в эксплуатацию (вывода из эксплуатации)</v>
      </c>
      <c r="G76" s="2106" t="s">
        <v>658</v>
      </c>
      <c r="H76" s="779"/>
      <c r="I76" s="779"/>
      <c r="J76" s="511" t="str">
        <f>FHD_NOTE_P_38</f>
        <v>Указываются общее изменение стоимости основных фондов за счет их ввода в эксплуатацию и вывода из эксплуатации.</v>
      </c>
      <c r="K76" s="765"/>
      <c r="L76" s="1863"/>
      <c r="M76" s="1863"/>
      <c r="R76" s="1863"/>
      <c r="U76" s="766"/>
      <c r="AA76" s="1859"/>
      <c r="AB76" s="1859"/>
      <c r="AC76" s="1859"/>
      <c r="AD76" s="1859"/>
      <c r="AE76" s="1859"/>
    </row>
    <row s="16550" customFormat="1" customHeight="1" ht="18.75">
      <c r="A77" s="1210"/>
      <c r="C77" s="1863"/>
      <c r="D77" s="1865"/>
      <c r="E77" s="768" t="str">
        <f>FHD_NUM_P_39</f>
        <v>4.1.1</v>
      </c>
      <c r="F77" s="1877" t="str">
        <f>FHD_P_39</f>
        <v>Изменение стоимости основных фондов за счет их ввода в эксплуатацию</v>
      </c>
      <c r="G77" s="2106" t="s">
        <v>658</v>
      </c>
      <c r="H77" s="779"/>
      <c r="I77" s="779"/>
      <c r="J77" s="511" t="str">
        <f>FHD_NOTE_P_39</f>
        <v>Указываются изменение стоимости основных фондов за счет их ввода в эксплуатацию.</v>
      </c>
      <c r="K77" s="765"/>
      <c r="L77" s="1863"/>
      <c r="M77" s="1863"/>
      <c r="R77" s="1863"/>
      <c r="U77" s="766"/>
      <c r="AA77" s="1859"/>
      <c r="AB77" s="1859"/>
      <c r="AC77" s="1859"/>
      <c r="AD77" s="1859"/>
      <c r="AE77" s="1859"/>
    </row>
    <row s="16550" customFormat="1" customHeight="1" ht="18.75">
      <c r="A78" s="1210"/>
      <c r="C78" s="1863"/>
      <c r="D78" s="1865"/>
      <c r="E78" s="768" t="str">
        <f>FHD_NUM_P_40</f>
        <v>4.1.2</v>
      </c>
      <c r="F78" s="1877" t="str">
        <f>FHD_P_40</f>
        <v>Изменение стоимости основных фондов за счет их вывода в эксплуатацию</v>
      </c>
      <c r="G78" s="2106" t="s">
        <v>658</v>
      </c>
      <c r="H78" s="779"/>
      <c r="I78" s="779"/>
      <c r="J78" s="511" t="str">
        <f>FHD_NOTE_P_40</f>
        <v>Указываются изменение стоимости основных фондов за счет их вывода из эксплуатации.</v>
      </c>
      <c r="K78" s="765"/>
      <c r="L78" s="1863"/>
      <c r="M78" s="1863"/>
      <c r="R78" s="1863"/>
      <c r="U78" s="766"/>
      <c r="AA78" s="1859"/>
      <c r="AB78" s="1859"/>
      <c r="AC78" s="1859"/>
      <c r="AD78" s="1859"/>
      <c r="AE78" s="1859"/>
    </row>
    <row s="16550" customFormat="1" customHeight="1" ht="18.75">
      <c r="A79" s="1210"/>
      <c r="C79" s="1863"/>
      <c r="D79" s="1865"/>
      <c r="E79" s="768" t="str">
        <f>FHD_NUM_P_41</f>
        <v>4.2</v>
      </c>
      <c r="F79" s="1751" t="str">
        <f>FHD_P_41</f>
        <v>Изменение стоимости основных фондов за счет их переоценки</v>
      </c>
      <c r="G79" s="2107" t="s">
        <v>658</v>
      </c>
      <c r="H79" s="779"/>
      <c r="I79" s="779"/>
      <c r="J79" s="511" t="str">
        <f>FHD_NOTE_P_41</f>
        <v/>
      </c>
      <c r="K79" s="765"/>
      <c r="L79" s="1863"/>
      <c r="M79" s="1863"/>
      <c r="R79" s="1863"/>
      <c r="U79" s="766"/>
      <c r="AA79" s="1859"/>
      <c r="AB79" s="1859"/>
      <c r="AC79" s="1859"/>
      <c r="AD79" s="1859"/>
      <c r="AE79" s="1859"/>
    </row>
    <row s="16550" customFormat="1" customHeight="1" ht="18.75">
      <c r="A80" s="1212" t="s">
        <v>685</v>
      </c>
      <c r="C80" s="1863"/>
      <c r="D80" s="1865"/>
      <c r="E80" s="768" t="str">
        <f>FHD_NUM_P_42</f>
        <v>5</v>
      </c>
      <c r="F80" s="2108" t="str">
        <f>FHD_P_42</f>
        <v>Валовая прибыль (убытки) от продажи товаров и услуг по регулируемым видам деятельности в сфере горячего водоснабжения</v>
      </c>
      <c r="G80" s="2106" t="s">
        <v>658</v>
      </c>
      <c r="H80" s="1199"/>
      <c r="I80" s="779"/>
      <c r="J80" s="511" t="str">
        <f>FHD_NOTE_P_42</f>
        <v/>
      </c>
      <c r="K80" s="765"/>
      <c r="L80" s="1863"/>
      <c r="M80" s="1863"/>
      <c r="R80" s="1863"/>
      <c r="U80" s="766"/>
      <c r="AA80" s="1859"/>
      <c r="AB80" s="1859"/>
      <c r="AC80" s="1859"/>
      <c r="AD80" s="1859"/>
      <c r="AE80" s="1859"/>
    </row>
    <row s="16550" customFormat="1" customHeight="1" ht="18.75">
      <c r="A81" s="1210"/>
      <c r="C81" s="1863"/>
      <c r="D81" s="1865"/>
      <c r="E81" s="768" t="str">
        <f>FHD_NUM_P_43</f>
        <v>6</v>
      </c>
      <c r="F81" s="2108" t="str">
        <f>FHD_P_43</f>
        <v>Годовая бухгалтерская (финансовая) отчетность, включая бухгалтерский баланс и приложения к нему</v>
      </c>
      <c r="G81" s="2106" t="s">
        <v>412</v>
      </c>
      <c r="H81" s="1278"/>
      <c r="I81" s="1040"/>
      <c r="J81" s="51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765"/>
      <c r="L81" s="1863"/>
      <c r="M81" s="1863"/>
      <c r="R81" s="1863"/>
      <c r="U81" s="766"/>
      <c r="AA81" s="1859"/>
      <c r="AB81" s="1859"/>
      <c r="AC81" s="1859"/>
      <c r="AD81" s="1859"/>
      <c r="AE81" s="1859"/>
    </row>
    <row s="21774" customFormat="1" customHeight="1" ht="18.75" hidden="1">
      <c r="A82" s="2494" t="s">
        <v>686</v>
      </c>
      <c r="C82" s="957"/>
      <c r="D82" s="955"/>
      <c r="E82" s="768" t="str">
        <f>FHD_NUM_P_44</f>
        <v/>
      </c>
      <c r="F82" s="2108" t="str">
        <f>FHD_P_44</f>
        <v/>
      </c>
      <c r="G82" s="2109" t="s">
        <v>687</v>
      </c>
      <c r="H82" s="1200"/>
      <c r="I82" s="799"/>
      <c r="J82" s="511" t="str">
        <f>FHD_NOTE_P_44</f>
        <v/>
      </c>
      <c r="K82" s="956"/>
      <c r="L82" s="957"/>
      <c r="M82" s="957"/>
      <c r="R82" s="957"/>
      <c r="U82" s="958"/>
      <c r="AA82" s="959"/>
      <c r="AB82" s="959"/>
      <c r="AC82" s="959"/>
      <c r="AD82" s="959"/>
      <c r="AE82" s="959"/>
    </row>
    <row s="21774" customFormat="1" customHeight="1" ht="18.75" hidden="1">
      <c r="A83" s="2494"/>
      <c r="C83" s="957"/>
      <c r="D83" s="955"/>
      <c r="E83" s="768" t="str">
        <f>FHD_NUM_P_45</f>
        <v/>
      </c>
      <c r="F83" s="2108" t="str">
        <f>FHD_P_45</f>
        <v/>
      </c>
      <c r="G83" s="2109" t="s">
        <v>687</v>
      </c>
      <c r="H83" s="1200"/>
      <c r="I83" s="799"/>
      <c r="J83" s="511" t="str">
        <f>FHD_NOTE_P_45</f>
        <v/>
      </c>
      <c r="K83" s="956"/>
      <c r="L83" s="957"/>
      <c r="M83" s="957"/>
      <c r="R83" s="957"/>
      <c r="U83" s="958"/>
      <c r="AA83" s="959"/>
      <c r="AB83" s="959"/>
      <c r="AC83" s="959"/>
      <c r="AD83" s="959"/>
      <c r="AE83" s="959"/>
    </row>
    <row s="21774" customFormat="1" customHeight="1" ht="18.75" hidden="1">
      <c r="A84" s="2494"/>
      <c r="C84" s="957"/>
      <c r="D84" s="960"/>
      <c r="E84" s="768" t="str">
        <f>FHD_NUM_P_46</f>
        <v/>
      </c>
      <c r="F84" s="2108" t="str">
        <f>FHD_P_46</f>
        <v/>
      </c>
      <c r="G84" s="2109" t="s">
        <v>687</v>
      </c>
      <c r="H84" s="1200"/>
      <c r="I84" s="799"/>
      <c r="J84" s="511" t="str">
        <f>FHD_NOTE_P_46</f>
        <v/>
      </c>
      <c r="K84" s="956"/>
      <c r="L84" s="957"/>
      <c r="M84" s="957"/>
      <c r="R84" s="957"/>
      <c r="U84" s="958"/>
      <c r="AA84" s="959"/>
      <c r="AB84" s="959"/>
      <c r="AC84" s="959"/>
      <c r="AD84" s="959"/>
      <c r="AE84" s="959"/>
    </row>
    <row s="21774" customFormat="1" customHeight="1" ht="18.75" hidden="1">
      <c r="A85" s="2494"/>
      <c r="C85" s="957"/>
      <c r="D85" s="955"/>
      <c r="E85" s="768" t="str">
        <f>FHD_NUM_P_47</f>
        <v/>
      </c>
      <c r="F85" s="2108" t="str">
        <f>FHD_P_47</f>
        <v/>
      </c>
      <c r="G85" s="2109" t="s">
        <v>687</v>
      </c>
      <c r="H85" s="1200"/>
      <c r="I85" s="799"/>
      <c r="J85" s="511" t="str">
        <f>FHD_NOTE_P_47</f>
        <v/>
      </c>
      <c r="K85" s="956"/>
      <c r="L85" s="957"/>
      <c r="M85" s="957"/>
      <c r="R85" s="957"/>
      <c r="U85" s="958"/>
      <c r="AA85" s="959"/>
      <c r="AB85" s="959"/>
      <c r="AC85" s="959"/>
      <c r="AD85" s="959"/>
      <c r="AE85" s="959"/>
    </row>
    <row s="21783" customFormat="1" customHeight="1" ht="18.75" hidden="1">
      <c r="A86" s="2494"/>
      <c r="B86" s="1132"/>
      <c r="C86" s="957"/>
      <c r="D86" s="955"/>
      <c r="E86" s="768" t="str">
        <f>FHD_NUM_P_48</f>
        <v/>
      </c>
      <c r="F86" s="2108" t="str">
        <f>FHD_P_48</f>
        <v/>
      </c>
      <c r="G86" s="2109" t="s">
        <v>687</v>
      </c>
      <c r="H86" s="1200"/>
      <c r="I86" s="799"/>
      <c r="J86" s="511" t="str">
        <f>FHD_NOTE_P_48</f>
        <v/>
      </c>
      <c r="K86" s="956"/>
      <c r="L86" s="957"/>
      <c r="M86" s="957"/>
      <c r="N86" s="1132"/>
      <c r="O86" s="1132"/>
      <c r="P86" s="1132"/>
      <c r="Q86" s="1132"/>
      <c r="R86" s="957"/>
      <c r="S86" s="1132"/>
      <c r="T86" s="1132"/>
      <c r="U86" s="958"/>
      <c r="V86" s="1132"/>
      <c r="W86" s="1132"/>
      <c r="X86" s="1132"/>
      <c r="Y86" s="1132"/>
      <c r="Z86" s="1132"/>
      <c r="AA86" s="959"/>
      <c r="AB86" s="959"/>
      <c r="AC86" s="959"/>
      <c r="AD86" s="959"/>
      <c r="AE86" s="959"/>
    </row>
    <row s="21783" customFormat="1" customHeight="1" ht="18.75" hidden="1">
      <c r="A87" s="2494"/>
      <c r="B87" s="1132"/>
      <c r="C87" s="957"/>
      <c r="D87" s="955"/>
      <c r="E87" s="768" t="str">
        <f>FHD_NUM_P_49</f>
        <v/>
      </c>
      <c r="F87" s="2108" t="str">
        <f>FHD_P_49</f>
        <v/>
      </c>
      <c r="G87" s="2109" t="s">
        <v>687</v>
      </c>
      <c r="H87" s="1201">
        <f>SUM(H88:H89)</f>
        <v>0</v>
      </c>
      <c r="I87" s="971">
        <f>SUM(I88:I89)</f>
        <v>0</v>
      </c>
      <c r="J87" s="511" t="str">
        <f>FHD_NOTE_P_49</f>
        <v/>
      </c>
      <c r="K87" s="956"/>
      <c r="L87" s="957"/>
      <c r="M87" s="957"/>
      <c r="N87" s="1132"/>
      <c r="O87" s="1132"/>
      <c r="P87" s="1132"/>
      <c r="Q87" s="1132"/>
      <c r="R87" s="957"/>
      <c r="S87" s="1132"/>
      <c r="T87" s="1132"/>
      <c r="U87" s="958"/>
      <c r="V87" s="1132"/>
      <c r="W87" s="1132"/>
      <c r="X87" s="1132"/>
      <c r="Y87" s="1132"/>
      <c r="Z87" s="1132"/>
      <c r="AA87" s="959"/>
      <c r="AB87" s="959"/>
      <c r="AC87" s="959"/>
      <c r="AD87" s="959"/>
      <c r="AE87" s="959"/>
    </row>
    <row s="21783" customFormat="1" customHeight="1" ht="18.75" hidden="1">
      <c r="A88" s="2494"/>
      <c r="B88" s="1132"/>
      <c r="C88" s="957"/>
      <c r="D88" s="955"/>
      <c r="E88" s="768" t="str">
        <f>FHD_NUM_P_50</f>
        <v/>
      </c>
      <c r="F88" s="2108" t="str">
        <f>FHD_P_50</f>
        <v/>
      </c>
      <c r="G88" s="2109" t="s">
        <v>687</v>
      </c>
      <c r="H88" s="1200"/>
      <c r="I88" s="799"/>
      <c r="J88" s="511" t="str">
        <f>FHD_NOTE_P_50</f>
        <v/>
      </c>
      <c r="K88" s="956"/>
      <c r="L88" s="957"/>
      <c r="M88" s="957"/>
      <c r="N88" s="1132"/>
      <c r="O88" s="1132"/>
      <c r="P88" s="1132"/>
      <c r="Q88" s="1132"/>
      <c r="R88" s="957"/>
      <c r="S88" s="1132"/>
      <c r="T88" s="1132"/>
      <c r="U88" s="958"/>
      <c r="V88" s="1132"/>
      <c r="W88" s="1132"/>
      <c r="X88" s="1132"/>
      <c r="Y88" s="1132"/>
      <c r="Z88" s="1132"/>
      <c r="AA88" s="959"/>
      <c r="AB88" s="959"/>
      <c r="AC88" s="959"/>
      <c r="AD88" s="959"/>
      <c r="AE88" s="959"/>
    </row>
    <row s="21783" customFormat="1" customHeight="1" ht="18.75" hidden="1">
      <c r="A89" s="2494"/>
      <c r="B89" s="1132"/>
      <c r="C89" s="957"/>
      <c r="D89" s="955"/>
      <c r="E89" s="768" t="str">
        <f>FHD_NUM_P_51</f>
        <v/>
      </c>
      <c r="F89" s="2108" t="str">
        <f>FHD_P_51</f>
        <v/>
      </c>
      <c r="G89" s="2109" t="s">
        <v>687</v>
      </c>
      <c r="H89" s="1200"/>
      <c r="I89" s="799"/>
      <c r="J89" s="511" t="str">
        <f>FHD_NOTE_P_51</f>
        <v/>
      </c>
      <c r="K89" s="956"/>
      <c r="L89" s="957"/>
      <c r="M89" s="957"/>
      <c r="N89" s="1132"/>
      <c r="O89" s="1132"/>
      <c r="P89" s="1132"/>
      <c r="Q89" s="1132"/>
      <c r="R89" s="957"/>
      <c r="S89" s="1132"/>
      <c r="T89" s="1132"/>
      <c r="U89" s="958"/>
      <c r="V89" s="1132"/>
      <c r="W89" s="1132"/>
      <c r="X89" s="1132"/>
      <c r="Y89" s="1132"/>
      <c r="Z89" s="1132"/>
      <c r="AA89" s="959"/>
      <c r="AB89" s="959"/>
      <c r="AC89" s="959"/>
      <c r="AD89" s="959"/>
      <c r="AE89" s="959"/>
    </row>
    <row s="21783" customFormat="1" customHeight="1" ht="18.75" hidden="1">
      <c r="A90" s="2494"/>
      <c r="B90" s="1132"/>
      <c r="C90" s="957"/>
      <c r="D90" s="955"/>
      <c r="E90" s="768" t="str">
        <f>FHD_NUM_P_52</f>
        <v/>
      </c>
      <c r="F90" s="2108" t="str">
        <f>FHD_P_52</f>
        <v/>
      </c>
      <c r="G90" s="2109" t="s">
        <v>664</v>
      </c>
      <c r="H90" s="1199"/>
      <c r="I90" s="779"/>
      <c r="J90" s="511" t="str">
        <f>FHD_NOTE_P_52</f>
        <v/>
      </c>
      <c r="K90" s="956"/>
      <c r="L90" s="957"/>
      <c r="M90" s="957"/>
      <c r="N90" s="1132"/>
      <c r="O90" s="1132"/>
      <c r="P90" s="1132"/>
      <c r="Q90" s="1132"/>
      <c r="R90" s="957"/>
      <c r="S90" s="1132"/>
      <c r="T90" s="1132"/>
      <c r="U90" s="958"/>
      <c r="V90" s="1132"/>
      <c r="W90" s="1132"/>
      <c r="X90" s="1132"/>
      <c r="Y90" s="1132"/>
      <c r="Z90" s="1132"/>
      <c r="AA90" s="959"/>
      <c r="AB90" s="959"/>
      <c r="AC90" s="959"/>
      <c r="AD90" s="959"/>
      <c r="AE90" s="959"/>
    </row>
    <row s="21774" customFormat="1" customHeight="1" ht="18.75">
      <c r="A91" s="2496" t="s">
        <v>688</v>
      </c>
      <c r="C91" s="957"/>
      <c r="D91" s="955"/>
      <c r="E91" s="768" t="str">
        <f>FHD_NUM_P_53</f>
        <v>7</v>
      </c>
      <c r="F91" s="2108" t="str">
        <f>FHD_P_53</f>
        <v>Объём приобретаемой холодной воды, используемой для горячего водоснабжения</v>
      </c>
      <c r="G91" s="2109" t="s">
        <v>687</v>
      </c>
      <c r="H91" s="1200"/>
      <c r="I91" s="799"/>
      <c r="J91" s="511" t="str">
        <f>FHD_NOTE_P_53</f>
        <v/>
      </c>
      <c r="K91" s="956"/>
      <c r="L91" s="957"/>
      <c r="M91" s="957"/>
      <c r="R91" s="957"/>
      <c r="U91" s="958"/>
      <c r="AA91" s="959"/>
      <c r="AB91" s="959"/>
      <c r="AC91" s="959"/>
      <c r="AD91" s="959"/>
      <c r="AE91" s="959"/>
    </row>
    <row s="21774" customFormat="1" customHeight="1" ht="18.75">
      <c r="A92" s="2496"/>
      <c r="C92" s="957"/>
      <c r="D92" s="955"/>
      <c r="E92" s="768" t="str">
        <f>FHD_NUM_P_54</f>
        <v>8</v>
      </c>
      <c r="F92" s="2108" t="str">
        <f>FHD_P_54</f>
        <v>Объём холодной воды, получаемой с применением собственных источников водозабора (скважин) и используемой для горячего водоснабжения</v>
      </c>
      <c r="G92" s="2109" t="s">
        <v>687</v>
      </c>
      <c r="H92" s="1200"/>
      <c r="I92" s="799"/>
      <c r="J92" s="511" t="str">
        <f>FHD_NOTE_P_54</f>
        <v/>
      </c>
      <c r="K92" s="956"/>
      <c r="L92" s="957"/>
      <c r="M92" s="957"/>
      <c r="R92" s="957"/>
      <c r="U92" s="958"/>
      <c r="AA92" s="959"/>
      <c r="AB92" s="959"/>
      <c r="AC92" s="959"/>
      <c r="AD92" s="959"/>
      <c r="AE92" s="959"/>
    </row>
    <row s="21774" customFormat="1" customHeight="1" ht="18.75">
      <c r="A93" s="2496"/>
      <c r="C93" s="957"/>
      <c r="D93" s="960"/>
      <c r="E93" s="768" t="str">
        <f>FHD_NUM_P_55</f>
        <v>9</v>
      </c>
      <c r="F93" s="2108" t="str">
        <f>FHD_P_55</f>
        <v>Объём приобретаемой тепловой энергии (мощности), используемой для горячего водоснабжения</v>
      </c>
      <c r="G93" s="2112"/>
      <c r="H93" s="1200"/>
      <c r="I93" s="799"/>
      <c r="J93" s="511" t="str">
        <f>FHD_NOTE_P_55</f>
        <v/>
      </c>
      <c r="K93" s="956"/>
      <c r="L93" s="957"/>
      <c r="M93" s="957"/>
      <c r="R93" s="957"/>
      <c r="U93" s="958"/>
      <c r="AA93" s="959"/>
      <c r="AB93" s="959"/>
      <c r="AC93" s="959"/>
      <c r="AD93" s="959"/>
      <c r="AE93" s="959"/>
    </row>
    <row s="21774" customFormat="1" customHeight="1" ht="18.75">
      <c r="A94" s="2496"/>
      <c r="C94" s="957"/>
      <c r="D94" s="955"/>
      <c r="E94" s="768" t="str">
        <f>FHD_NUM_P_56</f>
        <v>10</v>
      </c>
      <c r="F94" s="2108" t="str">
        <f>FHD_P_56</f>
        <v>Объём тепловой энергии, производимой с применением собственных источников и используемой для горячего водоснабжения</v>
      </c>
      <c r="G94" s="2109" t="s">
        <v>689</v>
      </c>
      <c r="H94" s="1200"/>
      <c r="I94" s="799"/>
      <c r="J94" s="511" t="str">
        <f>FHD_NOTE_P_56</f>
        <v/>
      </c>
      <c r="K94" s="956"/>
      <c r="L94" s="957"/>
      <c r="M94" s="957"/>
      <c r="R94" s="957"/>
      <c r="U94" s="958"/>
      <c r="AA94" s="959"/>
      <c r="AB94" s="959"/>
      <c r="AC94" s="959"/>
      <c r="AD94" s="959"/>
      <c r="AE94" s="959"/>
    </row>
    <row s="21783" customFormat="1" customHeight="1" ht="18.75">
      <c r="A95" s="2496"/>
      <c r="B95" s="1132"/>
      <c r="C95" s="957"/>
      <c r="D95" s="955"/>
      <c r="E95" s="768" t="str">
        <f>FHD_NUM_P_57</f>
        <v>11</v>
      </c>
      <c r="F95" s="2108" t="str">
        <f>FHD_P_57</f>
        <v>Потери горячей воды в сетях (процентов)</v>
      </c>
      <c r="G95" s="2109" t="s">
        <v>664</v>
      </c>
      <c r="H95" s="1199"/>
      <c r="I95" s="779"/>
      <c r="J95" s="511" t="str">
        <f>FHD_NOTE_P_57</f>
        <v/>
      </c>
      <c r="K95" s="956"/>
      <c r="L95" s="957"/>
      <c r="M95" s="957"/>
      <c r="N95" s="1132"/>
      <c r="O95" s="1132"/>
      <c r="P95" s="1132"/>
      <c r="Q95" s="1132"/>
      <c r="R95" s="957"/>
      <c r="S95" s="1132"/>
      <c r="T95" s="1132"/>
      <c r="U95" s="958"/>
      <c r="V95" s="1132"/>
      <c r="W95" s="1132"/>
      <c r="X95" s="1132"/>
      <c r="Y95" s="1132"/>
      <c r="Z95" s="1132"/>
      <c r="AA95" s="959"/>
      <c r="AB95" s="959"/>
      <c r="AC95" s="959"/>
      <c r="AD95" s="959"/>
      <c r="AE95" s="959"/>
    </row>
    <row customHeight="1" ht="18.75" hidden="1">
      <c r="A96" s="2494" t="s">
        <v>690</v>
      </c>
      <c r="D96" s="1865"/>
      <c r="E96" s="768" t="str">
        <f>FHD_NUM_P_58</f>
        <v/>
      </c>
      <c r="F96" s="2108" t="str">
        <f>FHD_P_58</f>
        <v/>
      </c>
      <c r="G96" s="2109" t="s">
        <v>687</v>
      </c>
      <c r="H96" s="1200"/>
      <c r="I96" s="799"/>
      <c r="J96" s="511" t="str">
        <f>FHD_NOTE_P_58</f>
        <v/>
      </c>
      <c r="K96" s="765"/>
    </row>
    <row customHeight="1" ht="18.75" hidden="1">
      <c r="A97" s="2494"/>
      <c r="D97" s="1865"/>
      <c r="E97" s="768" t="str">
        <f>FHD_NUM_P_59</f>
        <v/>
      </c>
      <c r="F97" s="2108" t="str">
        <f>FHD_P_59</f>
        <v/>
      </c>
      <c r="G97" s="2109" t="s">
        <v>687</v>
      </c>
      <c r="H97" s="1200"/>
      <c r="I97" s="799"/>
      <c r="J97" s="511" t="str">
        <f>FHD_NOTE_P_59</f>
        <v/>
      </c>
      <c r="K97" s="765"/>
    </row>
    <row customHeight="1" ht="18.75" hidden="1">
      <c r="A98" s="2494"/>
      <c r="D98" s="1865"/>
      <c r="E98" s="768" t="str">
        <f>FHD_NUM_P_60</f>
        <v/>
      </c>
      <c r="F98" s="2108" t="str">
        <f>FHD_P_60</f>
        <v/>
      </c>
      <c r="G98" s="2109" t="s">
        <v>687</v>
      </c>
      <c r="H98" s="1200"/>
      <c r="I98" s="799"/>
      <c r="J98" s="511" t="str">
        <f>FHD_NOTE_P_60</f>
        <v/>
      </c>
      <c r="K98" s="765"/>
    </row>
    <row s="16550" customFormat="1" customHeight="1" ht="18.75" hidden="1">
      <c r="A99" s="2494" t="s">
        <v>691</v>
      </c>
      <c r="C99" s="1863"/>
      <c r="D99" s="1865"/>
      <c r="E99" s="768" t="str">
        <f>FHD_NUM_P_61</f>
        <v/>
      </c>
      <c r="F99" s="2108" t="str">
        <f>FHD_P_61</f>
        <v/>
      </c>
      <c r="G99" s="2106" t="s">
        <v>662</v>
      </c>
      <c r="H99" s="1202"/>
      <c r="I99" s="964"/>
      <c r="J99" s="511" t="str">
        <f>FHD_NOTE_P_61</f>
        <v/>
      </c>
      <c r="K99" s="765"/>
      <c r="L99" s="1863"/>
      <c r="M99" s="1863"/>
      <c r="R99" s="1863"/>
      <c r="U99" s="766"/>
      <c r="AA99" s="1859"/>
      <c r="AB99" s="1859"/>
      <c r="AC99" s="1859"/>
      <c r="AD99" s="1859"/>
      <c r="AE99" s="1859"/>
    </row>
    <row s="16674" customFormat="1" customHeight="1" ht="0.75" hidden="1">
      <c r="A100" s="2494"/>
      <c r="D100" s="770"/>
      <c r="E100" s="1236" t="str">
        <f>E99&amp;".0"</f>
        <v>.0</v>
      </c>
      <c r="F100" s="1217"/>
      <c r="G100" s="1218"/>
      <c r="H100" s="1215"/>
      <c r="I100" s="1215"/>
      <c r="J100" s="1219"/>
    </row>
    <row customHeight="1" ht="15" hidden="1">
      <c r="A101" s="2494"/>
      <c r="D101" s="1860"/>
      <c r="E101" s="1194"/>
      <c r="F101" s="1195" t="s">
        <v>692</v>
      </c>
      <c r="G101" s="794"/>
      <c r="H101" s="795"/>
      <c r="I101" s="795"/>
      <c r="J101" s="1227" t="s">
        <v>693</v>
      </c>
      <c r="K101" s="765"/>
    </row>
    <row s="16550" customFormat="1" customHeight="1" ht="18.75" hidden="1">
      <c r="A102" s="2494"/>
      <c r="C102" s="1863"/>
      <c r="D102" s="1865"/>
      <c r="E102" s="768" t="str">
        <f>FHD_NUM_P_62</f>
        <v/>
      </c>
      <c r="F102" s="2108" t="str">
        <f>FHD_P_62</f>
        <v/>
      </c>
      <c r="G102" s="2105" t="s">
        <v>662</v>
      </c>
      <c r="H102" s="779"/>
      <c r="I102" s="779"/>
      <c r="J102" s="511" t="str">
        <f>FHD_NOTE_P_62</f>
        <v/>
      </c>
      <c r="K102" s="765"/>
      <c r="L102" s="1863"/>
      <c r="M102" s="1863"/>
      <c r="R102" s="1863"/>
      <c r="U102" s="766"/>
      <c r="AA102" s="1859"/>
      <c r="AB102" s="1859"/>
      <c r="AC102" s="1859"/>
      <c r="AD102" s="1859"/>
      <c r="AE102" s="1859"/>
    </row>
    <row s="16550" customFormat="1" customHeight="1" ht="18.75" hidden="1">
      <c r="A103" s="2494"/>
      <c r="C103" s="1863"/>
      <c r="D103" s="1865"/>
      <c r="E103" s="768" t="str">
        <f>FHD_NUM_P_63</f>
        <v/>
      </c>
      <c r="F103" s="2108" t="str">
        <f>FHD_P_63</f>
        <v/>
      </c>
      <c r="G103" s="2105" t="s">
        <v>689</v>
      </c>
      <c r="H103" s="799"/>
      <c r="I103" s="799"/>
      <c r="J103" s="511" t="str">
        <f>FHD_NOTE_P_63</f>
        <v/>
      </c>
      <c r="K103" s="765"/>
      <c r="L103" s="1863"/>
      <c r="M103" s="1863"/>
      <c r="R103" s="1863"/>
      <c r="U103" s="766"/>
      <c r="AA103" s="1859"/>
      <c r="AB103" s="1859"/>
      <c r="AC103" s="1859"/>
      <c r="AD103" s="1859"/>
      <c r="AE103" s="1859"/>
    </row>
    <row s="16550" customFormat="1" customHeight="1" ht="18.75" hidden="1">
      <c r="A104" s="2494"/>
      <c r="C104" s="1863" t="s">
        <v>694</v>
      </c>
      <c r="D104" s="1865"/>
      <c r="E104" s="768" t="str">
        <f>FHD_NUM_P_64</f>
        <v/>
      </c>
      <c r="F104" s="2108" t="str">
        <f>FHD_P_64</f>
        <v/>
      </c>
      <c r="G104" s="2105" t="s">
        <v>689</v>
      </c>
      <c r="H104" s="767"/>
      <c r="I104" s="767"/>
      <c r="J104" s="511" t="str">
        <f>FHD_NOTE_P_64</f>
        <v/>
      </c>
      <c r="K104" s="765"/>
      <c r="L104" s="1863"/>
      <c r="M104" s="1863"/>
      <c r="R104" s="1863"/>
      <c r="U104" s="766"/>
      <c r="AA104" s="1859"/>
      <c r="AB104" s="1859"/>
      <c r="AC104" s="1859"/>
      <c r="AD104" s="1859"/>
      <c r="AE104" s="1859"/>
    </row>
    <row s="16550" customFormat="1" customHeight="1" ht="18.75" hidden="1">
      <c r="A105" s="2494"/>
      <c r="C105" s="1863"/>
      <c r="D105" s="1865"/>
      <c r="E105" s="768" t="str">
        <f>FHD_NUM_P_65</f>
        <v/>
      </c>
      <c r="F105" s="2108" t="str">
        <f>FHD_P_65</f>
        <v/>
      </c>
      <c r="G105" s="2105" t="s">
        <v>689</v>
      </c>
      <c r="H105" s="799"/>
      <c r="I105" s="799"/>
      <c r="J105" s="511" t="str">
        <f>FHD_NOTE_P_65</f>
        <v/>
      </c>
      <c r="K105" s="765"/>
      <c r="L105" s="1863"/>
      <c r="M105" s="1863"/>
      <c r="R105" s="1863"/>
      <c r="U105" s="766"/>
      <c r="AA105" s="1859"/>
      <c r="AB105" s="1859"/>
      <c r="AC105" s="1859"/>
      <c r="AD105" s="1859"/>
      <c r="AE105" s="1859"/>
    </row>
    <row s="16550" customFormat="1" customHeight="1" ht="18.75" hidden="1">
      <c r="A106" s="2494"/>
      <c r="C106" s="1863"/>
      <c r="D106" s="1865"/>
      <c r="E106" s="768" t="str">
        <f>FHD_NUM_P_66</f>
        <v/>
      </c>
      <c r="F106" s="1751" t="str">
        <f>FHD_P_66</f>
        <v/>
      </c>
      <c r="G106" s="2105" t="s">
        <v>689</v>
      </c>
      <c r="H106" s="799"/>
      <c r="I106" s="799"/>
      <c r="J106" s="511" t="str">
        <f>FHD_NOTE_P_66</f>
        <v/>
      </c>
      <c r="K106" s="765"/>
      <c r="L106" s="1863"/>
      <c r="M106" s="1863"/>
      <c r="R106" s="1863"/>
      <c r="U106" s="766"/>
      <c r="AA106" s="1859"/>
      <c r="AB106" s="1859"/>
      <c r="AC106" s="1859"/>
      <c r="AD106" s="1859"/>
      <c r="AE106" s="1859"/>
    </row>
    <row s="16550" customFormat="1" customHeight="1" ht="18.75" hidden="1">
      <c r="A107" s="2494"/>
      <c r="C107" s="1863"/>
      <c r="D107" s="1865"/>
      <c r="E107" s="768" t="str">
        <f>FHD_NUM_P_67</f>
        <v/>
      </c>
      <c r="F107" s="1877" t="str">
        <f>FHD_P_67</f>
        <v/>
      </c>
      <c r="G107" s="2105" t="s">
        <v>689</v>
      </c>
      <c r="H107" s="799"/>
      <c r="I107" s="799"/>
      <c r="J107" s="511" t="str">
        <f>FHD_NOTE_P_67</f>
        <v/>
      </c>
      <c r="K107" s="765"/>
      <c r="L107" s="1863"/>
      <c r="M107" s="1863"/>
      <c r="R107" s="1863"/>
      <c r="U107" s="766"/>
      <c r="AA107" s="1859"/>
      <c r="AB107" s="1859"/>
      <c r="AC107" s="1859"/>
      <c r="AD107" s="1859"/>
      <c r="AE107" s="1859"/>
    </row>
    <row s="16550" customFormat="1" customHeight="1" ht="18.75" hidden="1">
      <c r="A108" s="2494"/>
      <c r="C108" s="1863"/>
      <c r="D108" s="1865"/>
      <c r="E108" s="768" t="str">
        <f>FHD_NUM_P_68</f>
        <v/>
      </c>
      <c r="F108" s="1751" t="str">
        <f>FHD_P_68</f>
        <v/>
      </c>
      <c r="G108" s="2105" t="s">
        <v>689</v>
      </c>
      <c r="H108" s="799"/>
      <c r="I108" s="799"/>
      <c r="J108" s="511" t="str">
        <f>FHD_NOTE_P_68</f>
        <v/>
      </c>
      <c r="K108" s="765"/>
      <c r="L108" s="1863"/>
      <c r="M108" s="1863"/>
      <c r="R108" s="1863"/>
      <c r="U108" s="766"/>
      <c r="AA108" s="1859"/>
      <c r="AB108" s="1859"/>
      <c r="AC108" s="1859"/>
      <c r="AD108" s="1859"/>
      <c r="AE108" s="1859"/>
    </row>
    <row s="16550" customFormat="1" customHeight="1" ht="18.75" hidden="1">
      <c r="A109" s="2494"/>
      <c r="C109" s="1863"/>
      <c r="D109" s="1865"/>
      <c r="E109" s="768" t="str">
        <f>FHD_NUM_P_69</f>
        <v/>
      </c>
      <c r="F109" s="1751" t="str">
        <f>FHD_P_69</f>
        <v/>
      </c>
      <c r="G109" s="2105" t="s">
        <v>689</v>
      </c>
      <c r="H109" s="799"/>
      <c r="I109" s="799"/>
      <c r="J109" s="511" t="str">
        <f>FHD_NOTE_P_69</f>
        <v/>
      </c>
      <c r="K109" s="765"/>
      <c r="L109" s="1863"/>
      <c r="M109" s="1863"/>
      <c r="R109" s="1863"/>
      <c r="U109" s="766"/>
      <c r="AA109" s="1859"/>
      <c r="AB109" s="1859"/>
      <c r="AC109" s="1859"/>
      <c r="AD109" s="1859"/>
      <c r="AE109" s="1859"/>
    </row>
    <row s="16550" customFormat="1" customHeight="1" ht="22.5" hidden="1">
      <c r="A110" s="2494"/>
      <c r="C110" s="1863"/>
      <c r="D110" s="1865"/>
      <c r="E110" s="768" t="str">
        <f>FHD_NUM_P_70</f>
        <v/>
      </c>
      <c r="F110" s="2108" t="str">
        <f>FHD_P_70</f>
        <v/>
      </c>
      <c r="G110" s="2105" t="s">
        <v>695</v>
      </c>
      <c r="H110" s="779"/>
      <c r="I110" s="779"/>
      <c r="J110" s="511" t="str">
        <f>FHD_NOTE_P_70</f>
        <v/>
      </c>
      <c r="K110" s="765"/>
      <c r="L110" s="1863"/>
      <c r="M110" s="1863"/>
      <c r="R110" s="1863"/>
      <c r="U110" s="766"/>
      <c r="AA110" s="1859"/>
      <c r="AB110" s="1859"/>
      <c r="AC110" s="1859"/>
      <c r="AD110" s="1859"/>
      <c r="AE110" s="1859"/>
    </row>
    <row s="16550" customFormat="1" customHeight="1" ht="22.5" hidden="1">
      <c r="A111" s="2494"/>
      <c r="C111" s="1863"/>
      <c r="D111" s="1865"/>
      <c r="E111" s="768" t="str">
        <f>FHD_NUM_P_71</f>
        <v/>
      </c>
      <c r="F111" s="2108" t="str">
        <f>FHD_P_71</f>
        <v/>
      </c>
      <c r="G111" s="2105" t="s">
        <v>695</v>
      </c>
      <c r="H111" s="779"/>
      <c r="I111" s="779"/>
      <c r="J111" s="511" t="str">
        <f>FHD_NOTE_P_71</f>
        <v/>
      </c>
      <c r="K111" s="765"/>
      <c r="L111" s="1863"/>
      <c r="M111" s="1863"/>
      <c r="R111" s="1863"/>
      <c r="U111" s="766"/>
      <c r="AA111" s="1859"/>
      <c r="AB111" s="1859"/>
      <c r="AC111" s="1859"/>
      <c r="AD111" s="1859"/>
      <c r="AE111" s="1859"/>
    </row>
    <row customHeight="1" ht="18.75">
      <c r="D112" s="1865"/>
      <c r="E112" s="768" t="str">
        <f>FHD_NUM_P_72</f>
        <v>12</v>
      </c>
      <c r="F112" s="2108" t="str">
        <f>FHD_P_72</f>
        <v>Среднесписочная численность основного производственного персонала</v>
      </c>
      <c r="G112" s="2104" t="s">
        <v>696</v>
      </c>
      <c r="H112" s="799"/>
      <c r="I112" s="799"/>
      <c r="J112" s="511" t="str">
        <f>FHD_NOTE_P_72</f>
        <v/>
      </c>
      <c r="K112" s="765"/>
    </row>
    <row customHeight="1" ht="18.75" hidden="1">
      <c r="A113" s="1212" t="s">
        <v>697</v>
      </c>
      <c r="D113" s="1865"/>
      <c r="E113" s="768" t="str">
        <f>FHD_NUM_P_73</f>
        <v/>
      </c>
      <c r="F113" s="2108" t="str">
        <f>FHD_P_73</f>
        <v/>
      </c>
      <c r="G113" s="1193" t="s">
        <v>696</v>
      </c>
      <c r="H113" s="1191"/>
      <c r="I113" s="1191"/>
      <c r="J113" s="511" t="str">
        <f>FHD_NOTE_P_73</f>
        <v/>
      </c>
      <c r="K113" s="765"/>
    </row>
    <row customHeight="1" ht="33.75">
      <c r="A114" s="1212" t="s">
        <v>698</v>
      </c>
      <c r="D114" s="1865"/>
      <c r="E114" s="768" t="str">
        <f>FHD_NUM_P_74</f>
        <v>13</v>
      </c>
      <c r="F114" s="2108" t="str">
        <f>FHD_P_74</f>
        <v>Удельный расход электрической энергии на подачу воды в сеть</v>
      </c>
      <c r="G114" s="2104" t="s">
        <v>699</v>
      </c>
      <c r="H114" s="799"/>
      <c r="I114" s="799"/>
      <c r="J114" s="511" t="str">
        <f>FHD_NOTE_P_74</f>
        <v/>
      </c>
      <c r="K114" s="765"/>
    </row>
    <row s="21783" customFormat="1" customHeight="1" ht="18.75" hidden="1">
      <c r="A115" s="2496" t="s">
        <v>700</v>
      </c>
      <c r="B115" s="1132"/>
      <c r="C115" s="957"/>
      <c r="D115" s="955"/>
      <c r="E115" s="768" t="str">
        <f>FHD_NUM_P_75</f>
        <v/>
      </c>
      <c r="F115" s="2108" t="str">
        <f>FHD_P_75</f>
        <v/>
      </c>
      <c r="G115" s="2104" t="s">
        <v>664</v>
      </c>
      <c r="H115" s="779"/>
      <c r="I115" s="779"/>
      <c r="J115" s="511" t="str">
        <f>FHD_NOTE_P_75</f>
        <v/>
      </c>
      <c r="K115" s="956"/>
      <c r="L115" s="957"/>
      <c r="M115" s="957"/>
      <c r="N115" s="1132"/>
      <c r="O115" s="1132"/>
      <c r="P115" s="1132"/>
      <c r="Q115" s="1132"/>
      <c r="R115" s="957"/>
      <c r="S115" s="1132"/>
      <c r="T115" s="1132"/>
      <c r="U115" s="958"/>
      <c r="V115" s="1132"/>
      <c r="W115" s="1132"/>
      <c r="X115" s="1132"/>
      <c r="Y115" s="1132"/>
      <c r="Z115" s="1132"/>
      <c r="AA115" s="959"/>
      <c r="AB115" s="959"/>
      <c r="AC115" s="959"/>
      <c r="AD115" s="959"/>
      <c r="AE115" s="959"/>
    </row>
    <row s="21783" customFormat="1" customHeight="1" ht="18.75" hidden="1">
      <c r="A116" s="2496"/>
      <c r="B116" s="1132"/>
      <c r="C116" s="957"/>
      <c r="D116" s="955"/>
      <c r="E116" s="768" t="str">
        <f>FHD_NUM_P_76</f>
        <v/>
      </c>
      <c r="F116" s="2108" t="str">
        <f>FHD_P_76</f>
        <v/>
      </c>
      <c r="G116" s="2104" t="s">
        <v>664</v>
      </c>
      <c r="H116" s="779"/>
      <c r="I116" s="779"/>
      <c r="J116" s="511" t="str">
        <f>FHD_NOTE_P_76</f>
        <v/>
      </c>
      <c r="K116" s="956"/>
      <c r="L116" s="957"/>
      <c r="M116" s="957"/>
      <c r="N116" s="1132"/>
      <c r="O116" s="1132"/>
      <c r="P116" s="1132"/>
      <c r="Q116" s="1132"/>
      <c r="R116" s="957"/>
      <c r="S116" s="1132"/>
      <c r="T116" s="1132"/>
      <c r="U116" s="958"/>
      <c r="V116" s="1132"/>
      <c r="W116" s="1132"/>
      <c r="X116" s="1132"/>
      <c r="Y116" s="1132"/>
      <c r="Z116" s="1132"/>
      <c r="AA116" s="959"/>
      <c r="AB116" s="959"/>
      <c r="AC116" s="959"/>
      <c r="AD116" s="959"/>
      <c r="AE116" s="959"/>
    </row>
    <row s="21783" customFormat="1" customHeight="1" ht="18.75" hidden="1">
      <c r="A117" s="2496"/>
      <c r="B117" s="1132"/>
      <c r="C117" s="957"/>
      <c r="D117" s="955"/>
      <c r="E117" s="768" t="str">
        <f>FHD_NUM_P_77</f>
        <v/>
      </c>
      <c r="F117" s="2108" t="str">
        <f>FHD_P_77</f>
        <v/>
      </c>
      <c r="G117" s="2104" t="s">
        <v>664</v>
      </c>
      <c r="H117" s="779"/>
      <c r="I117" s="779"/>
      <c r="J117" s="511" t="str">
        <f>FHD_NOTE_P_77</f>
        <v/>
      </c>
      <c r="K117" s="956"/>
      <c r="L117" s="957"/>
      <c r="M117" s="957"/>
      <c r="N117" s="1132"/>
      <c r="O117" s="1132"/>
      <c r="P117" s="1132"/>
      <c r="Q117" s="1132"/>
      <c r="R117" s="957"/>
      <c r="S117" s="1132"/>
      <c r="T117" s="1132"/>
      <c r="U117" s="958"/>
      <c r="V117" s="1132"/>
      <c r="W117" s="1132"/>
      <c r="X117" s="1132"/>
      <c r="Y117" s="1132"/>
      <c r="Z117" s="1132"/>
      <c r="AA117" s="959"/>
      <c r="AB117" s="959"/>
      <c r="AC117" s="959"/>
      <c r="AD117" s="959"/>
      <c r="AE117" s="959"/>
    </row>
    <row s="16674" customFormat="1" customHeight="1" ht="0.75" hidden="1">
      <c r="A118" s="2496"/>
      <c r="D118" s="770"/>
      <c r="E118" s="1236" t="str">
        <f>E117&amp;".0"</f>
        <v>.0</v>
      </c>
      <c r="F118" s="1220"/>
      <c r="G118" s="1878"/>
      <c r="H118" s="1215"/>
      <c r="I118" s="1215"/>
      <c r="J118" s="1219"/>
    </row>
    <row s="21783" customFormat="1" customHeight="1" ht="15" hidden="1">
      <c r="A119" s="2496"/>
      <c r="B119" s="1132"/>
      <c r="C119" s="957"/>
      <c r="D119" s="968"/>
      <c r="E119" s="1196"/>
      <c r="F119" s="1197" t="s">
        <v>701</v>
      </c>
      <c r="G119" s="969"/>
      <c r="H119" s="970"/>
      <c r="I119" s="970"/>
      <c r="J119" s="1226" t="s">
        <v>702</v>
      </c>
      <c r="K119" s="956"/>
      <c r="L119" s="957"/>
      <c r="M119" s="957"/>
      <c r="N119" s="1132"/>
      <c r="O119" s="1132"/>
      <c r="P119" s="1132"/>
      <c r="Q119" s="1132"/>
      <c r="R119" s="957"/>
      <c r="S119" s="1132"/>
      <c r="T119" s="1132"/>
      <c r="U119" s="958"/>
      <c r="V119" s="1132"/>
      <c r="W119" s="1132"/>
      <c r="X119" s="1132"/>
      <c r="Y119" s="1132"/>
      <c r="Z119" s="1132"/>
      <c r="AA119" s="959"/>
      <c r="AB119" s="959"/>
      <c r="AC119" s="959"/>
      <c r="AD119" s="959"/>
      <c r="AE119" s="959"/>
    </row>
    <row customHeight="1" ht="22.5" hidden="1">
      <c r="A120" s="2494" t="s">
        <v>703</v>
      </c>
      <c r="D120" s="1865"/>
      <c r="E120" s="768" t="str">
        <f>FHD_NUM_P_78</f>
        <v/>
      </c>
      <c r="F120" s="2108" t="str">
        <f>FHD_P_78</f>
        <v/>
      </c>
      <c r="G120" s="2105" t="s">
        <v>666</v>
      </c>
      <c r="H120" s="799"/>
      <c r="I120" s="799"/>
      <c r="J120" s="511" t="str">
        <f>FHD_NOTE_P_78</f>
        <v/>
      </c>
      <c r="K120" s="765"/>
    </row>
    <row s="16674" customFormat="1" customHeight="1" ht="0.75" hidden="1">
      <c r="A121" s="2494"/>
      <c r="D121" s="770"/>
      <c r="E121" s="1236" t="str">
        <f>E120&amp;".0"</f>
        <v>.0</v>
      </c>
      <c r="F121" s="1220"/>
      <c r="G121" s="1878"/>
      <c r="H121" s="1215"/>
      <c r="I121" s="1215"/>
      <c r="J121" s="1219"/>
    </row>
    <row customHeight="1" ht="15" hidden="1">
      <c r="A122" s="2494"/>
      <c r="D122" s="1860"/>
      <c r="E122" s="792"/>
      <c r="F122" s="1392" t="s">
        <v>692</v>
      </c>
      <c r="G122" s="794"/>
      <c r="H122" s="795"/>
      <c r="I122" s="795"/>
      <c r="J122" s="1227" t="s">
        <v>704</v>
      </c>
      <c r="K122" s="765"/>
    </row>
    <row customHeight="1" ht="22.5" hidden="1">
      <c r="A123" s="2494"/>
      <c r="D123" s="1865"/>
      <c r="E123" s="768" t="str">
        <f>FHD_NUM_P_79</f>
        <v/>
      </c>
      <c r="F123" s="2108" t="str">
        <f>FHD_P_79</f>
        <v/>
      </c>
      <c r="G123" s="2106" t="s">
        <v>668</v>
      </c>
      <c r="H123" s="799"/>
      <c r="I123" s="799"/>
      <c r="J123" s="511" t="str">
        <f>FHD_NOTE_P_79</f>
        <v/>
      </c>
      <c r="K123" s="765"/>
    </row>
    <row s="16674" customFormat="1" customHeight="1" ht="0.75" hidden="1">
      <c r="A124" s="2494"/>
      <c r="D124" s="770"/>
      <c r="E124" s="1236" t="str">
        <f>E123&amp;".0"</f>
        <v>.0</v>
      </c>
      <c r="F124" s="1221"/>
      <c r="G124" s="1878"/>
      <c r="H124" s="1215"/>
      <c r="I124" s="1215"/>
      <c r="J124" s="1219"/>
    </row>
    <row customHeight="1" ht="15" hidden="1">
      <c r="A125" s="2494"/>
      <c r="D125" s="1860"/>
      <c r="E125" s="792"/>
      <c r="F125" s="1392" t="s">
        <v>692</v>
      </c>
      <c r="G125" s="794"/>
      <c r="H125" s="795"/>
      <c r="I125" s="795"/>
      <c r="J125" s="1227" t="s">
        <v>705</v>
      </c>
      <c r="K125" s="765"/>
    </row>
    <row customHeight="1" ht="22.5" hidden="1">
      <c r="A126" s="2494"/>
      <c r="D126" s="1865"/>
      <c r="E126" s="768" t="str">
        <f>FHD_NUM_P_80</f>
        <v/>
      </c>
      <c r="F126" s="2108" t="str">
        <f>FHD_P_80</f>
        <v/>
      </c>
      <c r="G126" s="2106" t="s">
        <v>706</v>
      </c>
      <c r="H126" s="779"/>
      <c r="I126" s="779"/>
      <c r="J126" s="511" t="str">
        <f>FHD_NOTE_P_80</f>
        <v/>
      </c>
      <c r="K126" s="765"/>
    </row>
    <row customHeight="1" ht="18.75" hidden="1">
      <c r="A127" s="2494"/>
      <c r="D127" s="1865"/>
      <c r="E127" s="768" t="str">
        <f>FHD_NUM_P_81</f>
        <v/>
      </c>
      <c r="F127" s="2108" t="str">
        <f>FHD_P_81</f>
        <v/>
      </c>
      <c r="G127" s="2106" t="s">
        <v>707</v>
      </c>
      <c r="H127" s="779"/>
      <c r="I127" s="779"/>
      <c r="J127" s="511" t="str">
        <f>FHD_NOTE_P_81</f>
        <v/>
      </c>
      <c r="K127" s="765"/>
    </row>
    <row customHeight="1" ht="18.75" hidden="1">
      <c r="A128" s="2494"/>
      <c r="C128" s="1863" t="s">
        <v>694</v>
      </c>
      <c r="D128" s="1865"/>
      <c r="E128" s="768" t="str">
        <f>FHD_NUM_P_82</f>
        <v/>
      </c>
      <c r="F128" s="2108" t="str">
        <f>FHD_P_82</f>
        <v/>
      </c>
      <c r="G128" s="2106" t="s">
        <v>412</v>
      </c>
      <c r="H128" s="623"/>
      <c r="I128" s="623"/>
      <c r="J128" s="511" t="str">
        <f>FHD_NOTE_P_82</f>
        <v/>
      </c>
      <c r="K128" s="765"/>
    </row>
    <row customHeight="1" ht="18.75" hidden="1">
      <c r="A129" s="2494"/>
      <c r="C129" s="1863" t="s">
        <v>694</v>
      </c>
      <c r="D129" s="1865"/>
      <c r="E129" s="768" t="str">
        <f>FHD_NUM_P_83</f>
        <v/>
      </c>
      <c r="F129" s="1751" t="str">
        <f>FHD_P_83</f>
        <v/>
      </c>
      <c r="G129" s="2106" t="s">
        <v>412</v>
      </c>
      <c r="H129" s="623"/>
      <c r="I129" s="623"/>
      <c r="J129" s="511" t="str">
        <f>FHD_NOTE_P_83</f>
        <v/>
      </c>
      <c r="K129" s="765"/>
    </row>
    <row customHeight="1" ht="18.75" hidden="1">
      <c r="A130" s="2494"/>
      <c r="C130" s="1863" t="s">
        <v>694</v>
      </c>
      <c r="D130" s="1865"/>
      <c r="E130" s="768" t="str">
        <f>FHD_NUM_P_84</f>
        <v/>
      </c>
      <c r="F130" s="1751" t="str">
        <f>FHD_P_84</f>
        <v/>
      </c>
      <c r="G130" s="2106" t="s">
        <v>412</v>
      </c>
      <c r="H130" s="623"/>
      <c r="I130" s="623"/>
      <c r="J130" s="511" t="str">
        <f>FHD_NOTE_P_84</f>
        <v/>
      </c>
      <c r="K130" s="765"/>
    </row>
    <row customHeight="1" ht="11.25">
      <c r="D131" s="1865"/>
    </row>
    <row customHeight="1" ht="12.75">
      <c r="D132" s="1865"/>
      <c r="E132" s="558"/>
      <c r="F132" s="591"/>
      <c r="G132" s="591"/>
      <c r="H132" s="591"/>
      <c r="I132" s="1874"/>
      <c r="J132" s="803"/>
    </row>
    <row s="16671" customFormat="1" customHeight="1" ht="11.25">
      <c r="A133" s="1210"/>
      <c r="B133" s="1863"/>
      <c r="C133" s="1863"/>
      <c r="D133" s="573"/>
      <c r="F133" s="1867"/>
      <c r="G133" s="1858"/>
      <c r="H133" s="1858"/>
      <c r="I133" s="1858"/>
      <c r="K133" s="1384"/>
      <c r="L133" s="1863"/>
      <c r="M133" s="1863"/>
      <c r="N133" s="1384"/>
      <c r="O133" s="1384"/>
      <c r="P133" s="1384"/>
      <c r="Q133" s="1384"/>
      <c r="R133" s="1863"/>
      <c r="S133" s="1384"/>
      <c r="T133" s="1384"/>
      <c r="U133" s="766"/>
      <c r="V133" s="1384"/>
      <c r="W133" s="1384"/>
      <c r="X133" s="1384"/>
      <c r="Y133" s="1384"/>
      <c r="Z133" s="1384"/>
      <c r="AA133" s="1859"/>
      <c r="AB133" s="788"/>
      <c r="AC133" s="788"/>
      <c r="AD133" s="788"/>
      <c r="AE133" s="788"/>
    </row>
    <row s="16671" customFormat="1" customHeight="1" ht="11.25">
      <c r="A134" s="1210"/>
      <c r="B134" s="1863"/>
      <c r="C134" s="1863"/>
      <c r="D134" s="573"/>
      <c r="K134" s="1384"/>
      <c r="L134" s="1863"/>
      <c r="M134" s="1863"/>
      <c r="N134" s="1384"/>
      <c r="O134" s="1384"/>
      <c r="P134" s="1384"/>
      <c r="Q134" s="1384"/>
      <c r="R134" s="1863"/>
      <c r="S134" s="1384"/>
      <c r="T134" s="1384"/>
      <c r="U134" s="766"/>
      <c r="V134" s="1384"/>
      <c r="W134" s="1384"/>
      <c r="X134" s="1384"/>
      <c r="Y134" s="1384"/>
      <c r="Z134" s="1384"/>
      <c r="AA134" s="1859"/>
      <c r="AB134" s="788"/>
      <c r="AC134" s="788"/>
      <c r="AD134" s="788"/>
      <c r="AE134" s="788"/>
    </row>
    <row s="16671" customFormat="1" customHeight="1" ht="11.25">
      <c r="A135" s="1210"/>
      <c r="B135" s="1863"/>
      <c r="C135" s="1863"/>
      <c r="D135" s="573"/>
      <c r="K135" s="1384"/>
      <c r="L135" s="1863"/>
      <c r="M135" s="1863"/>
      <c r="N135" s="1384"/>
      <c r="O135" s="1384"/>
      <c r="P135" s="1384"/>
      <c r="Q135" s="1384"/>
      <c r="R135" s="1863"/>
      <c r="S135" s="1384"/>
      <c r="T135" s="1384"/>
      <c r="U135" s="766"/>
      <c r="V135" s="1384"/>
      <c r="W135" s="1384"/>
      <c r="X135" s="1384"/>
      <c r="Y135" s="1384"/>
      <c r="Z135" s="1384"/>
      <c r="AA135" s="1859"/>
      <c r="AB135" s="788"/>
      <c r="AC135" s="788"/>
      <c r="AD135" s="788"/>
      <c r="AE135" s="788"/>
    </row>
    <row s="16671" customFormat="1" customHeight="1" ht="11.25">
      <c r="A136" s="1210"/>
      <c r="B136" s="1863"/>
      <c r="C136" s="1863"/>
      <c r="D136" s="573"/>
      <c r="H136" s="788" t="str">
        <f>IF(H30-H31&lt;&gt;H72,"WARNING","")</f>
        <v/>
      </c>
      <c r="I136" s="788" t="str">
        <f>IF(I30-I31&lt;&gt;I72,"WARNING","")</f>
        <v/>
      </c>
      <c r="K136" s="1384"/>
      <c r="L136" s="1863"/>
      <c r="M136" s="1863"/>
      <c r="N136" s="1384"/>
      <c r="O136" s="1384"/>
      <c r="P136" s="1384"/>
      <c r="Q136" s="1384"/>
      <c r="R136" s="1863"/>
      <c r="S136" s="1384"/>
      <c r="T136" s="1384"/>
      <c r="U136" s="766"/>
      <c r="V136" s="1384"/>
      <c r="W136" s="1384"/>
      <c r="X136" s="1384"/>
      <c r="Y136" s="1384"/>
      <c r="Z136" s="1384"/>
      <c r="AA136" s="1859"/>
      <c r="AB136" s="788"/>
      <c r="AC136" s="788"/>
      <c r="AD136" s="788"/>
      <c r="AE136" s="788"/>
    </row>
    <row s="16671" customFormat="1" customHeight="1" ht="11.25">
      <c r="A137" s="1210"/>
      <c r="B137" s="1863"/>
      <c r="C137" s="1863"/>
      <c r="D137" s="573"/>
      <c r="K137" s="1384"/>
      <c r="L137" s="1863"/>
      <c r="M137" s="1863"/>
      <c r="N137" s="1384"/>
      <c r="O137" s="1384"/>
      <c r="P137" s="1384"/>
      <c r="Q137" s="1384"/>
      <c r="R137" s="1863"/>
      <c r="S137" s="1384"/>
      <c r="T137" s="1384"/>
      <c r="U137" s="766"/>
      <c r="V137" s="1384"/>
      <c r="W137" s="1384"/>
      <c r="X137" s="1384"/>
      <c r="Y137" s="1384"/>
      <c r="Z137" s="1384"/>
      <c r="AA137" s="1859"/>
      <c r="AB137" s="788"/>
      <c r="AC137" s="788"/>
      <c r="AD137" s="788"/>
      <c r="AE137" s="788"/>
    </row>
    <row s="16671" customFormat="1" customHeight="1" ht="11.25">
      <c r="A138" s="1210"/>
      <c r="B138" s="1863"/>
      <c r="C138" s="1863"/>
      <c r="D138" s="573"/>
      <c r="K138" s="1384"/>
      <c r="L138" s="1863"/>
      <c r="M138" s="1863"/>
      <c r="N138" s="1384"/>
      <c r="O138" s="1384"/>
      <c r="P138" s="1384"/>
      <c r="Q138" s="1384"/>
      <c r="R138" s="1863"/>
      <c r="S138" s="1384"/>
      <c r="T138" s="1384"/>
      <c r="U138" s="766"/>
      <c r="V138" s="1384"/>
      <c r="W138" s="1384"/>
      <c r="X138" s="1384"/>
      <c r="Y138" s="1384"/>
      <c r="Z138" s="1384"/>
      <c r="AA138" s="1859"/>
      <c r="AB138" s="788"/>
      <c r="AC138" s="788"/>
      <c r="AD138" s="788"/>
      <c r="AE138" s="788"/>
    </row>
    <row s="16671" customFormat="1" customHeight="1" ht="11.25">
      <c r="A139" s="1210"/>
      <c r="B139" s="1863"/>
      <c r="C139" s="1863"/>
      <c r="D139" s="573"/>
      <c r="K139" s="1384"/>
      <c r="L139" s="1863"/>
      <c r="M139" s="1863"/>
      <c r="N139" s="1384"/>
      <c r="O139" s="1384"/>
      <c r="P139" s="1384"/>
      <c r="Q139" s="1384"/>
      <c r="R139" s="1863"/>
      <c r="S139" s="1384"/>
      <c r="T139" s="1384"/>
      <c r="U139" s="766"/>
      <c r="V139" s="1384"/>
      <c r="W139" s="1384"/>
      <c r="X139" s="1384"/>
      <c r="Y139" s="1384"/>
      <c r="Z139" s="1384"/>
      <c r="AA139" s="1859"/>
      <c r="AB139" s="788"/>
      <c r="AC139" s="788"/>
      <c r="AD139" s="788"/>
      <c r="AE139" s="788"/>
    </row>
    <row s="16671" customFormat="1" customHeight="1" ht="11.25">
      <c r="A140" s="1210"/>
      <c r="B140" s="1863"/>
      <c r="C140" s="1863"/>
      <c r="D140" s="573"/>
      <c r="K140" s="1384"/>
      <c r="L140" s="1863"/>
      <c r="M140" s="1863"/>
      <c r="N140" s="1384"/>
      <c r="O140" s="1384"/>
      <c r="P140" s="1384"/>
      <c r="Q140" s="1384"/>
      <c r="R140" s="1863"/>
      <c r="S140" s="1384"/>
      <c r="T140" s="1384"/>
      <c r="U140" s="766"/>
      <c r="V140" s="1384"/>
      <c r="W140" s="1384"/>
      <c r="X140" s="1384"/>
      <c r="Y140" s="1384"/>
      <c r="Z140" s="1384"/>
      <c r="AA140" s="1859"/>
      <c r="AB140" s="788"/>
      <c r="AC140" s="788"/>
      <c r="AD140" s="788"/>
      <c r="AE140" s="788"/>
    </row>
    <row s="16671" customFormat="1" customHeight="1" ht="11.25">
      <c r="A141" s="1210"/>
      <c r="B141" s="1863"/>
      <c r="C141" s="1863"/>
      <c r="D141" s="573"/>
      <c r="K141" s="1384"/>
      <c r="L141" s="1863"/>
      <c r="M141" s="1863"/>
      <c r="N141" s="1384"/>
      <c r="O141" s="1384"/>
      <c r="P141" s="1384"/>
      <c r="Q141" s="1384"/>
      <c r="R141" s="1863"/>
      <c r="S141" s="1384"/>
      <c r="T141" s="1384"/>
      <c r="U141" s="766"/>
      <c r="V141" s="1384"/>
      <c r="W141" s="1384"/>
      <c r="X141" s="1384"/>
      <c r="Y141" s="1384"/>
      <c r="Z141" s="1384"/>
      <c r="AA141" s="1859"/>
      <c r="AB141" s="788"/>
      <c r="AC141" s="788"/>
      <c r="AD141" s="788"/>
      <c r="AE141" s="788"/>
    </row>
    <row s="16671" customFormat="1" customHeight="1" ht="11.25">
      <c r="A142" s="1210"/>
      <c r="B142" s="1863"/>
      <c r="C142" s="1863"/>
      <c r="D142" s="573"/>
      <c r="K142" s="1384"/>
      <c r="L142" s="1863"/>
      <c r="M142" s="1863"/>
      <c r="N142" s="1384"/>
      <c r="O142" s="1384"/>
      <c r="P142" s="1384"/>
      <c r="Q142" s="1384"/>
      <c r="R142" s="1863"/>
      <c r="S142" s="1384"/>
      <c r="T142" s="1384"/>
      <c r="U142" s="766"/>
      <c r="V142" s="1384"/>
      <c r="W142" s="1384"/>
      <c r="X142" s="1384"/>
      <c r="Y142" s="1384"/>
      <c r="Z142" s="1384"/>
      <c r="AA142" s="1859"/>
      <c r="AB142" s="788"/>
      <c r="AC142" s="788"/>
      <c r="AD142" s="788"/>
      <c r="AE142" s="788"/>
    </row>
    <row s="16671" customFormat="1" customHeight="1" ht="11.25">
      <c r="A143" s="1210"/>
      <c r="B143" s="1863"/>
      <c r="C143" s="1863"/>
      <c r="D143" s="573"/>
      <c r="K143" s="1384"/>
      <c r="L143" s="1863"/>
      <c r="M143" s="1863"/>
      <c r="N143" s="1384"/>
      <c r="O143" s="1384"/>
      <c r="P143" s="1384"/>
      <c r="Q143" s="1384"/>
      <c r="R143" s="1863"/>
      <c r="S143" s="1384"/>
      <c r="T143" s="1384"/>
      <c r="U143" s="766"/>
      <c r="V143" s="1384"/>
      <c r="W143" s="1384"/>
      <c r="X143" s="1384"/>
      <c r="Y143" s="1384"/>
      <c r="Z143" s="1384"/>
      <c r="AA143" s="1859"/>
      <c r="AB143" s="788"/>
      <c r="AC143" s="788"/>
      <c r="AD143" s="788"/>
      <c r="AE143" s="788"/>
    </row>
    <row s="16671" customFormat="1" customHeight="1" ht="11.25">
      <c r="A144" s="1210"/>
      <c r="B144" s="1863"/>
      <c r="C144" s="1863"/>
      <c r="D144" s="573"/>
      <c r="K144" s="1384"/>
      <c r="L144" s="1863"/>
      <c r="M144" s="1863"/>
      <c r="N144" s="1384"/>
      <c r="O144" s="1384"/>
      <c r="P144" s="1384"/>
      <c r="Q144" s="1384"/>
      <c r="R144" s="1863"/>
      <c r="S144" s="1384"/>
      <c r="T144" s="1384"/>
      <c r="U144" s="766"/>
      <c r="V144" s="1384"/>
      <c r="W144" s="1384"/>
      <c r="X144" s="1384"/>
      <c r="Y144" s="1384"/>
      <c r="Z144" s="1384"/>
      <c r="AA144" s="1859"/>
      <c r="AB144" s="788"/>
      <c r="AC144" s="788"/>
      <c r="AD144" s="788"/>
      <c r="AE144" s="788"/>
    </row>
    <row s="16671" customFormat="1" customHeight="1" ht="11.25">
      <c r="A145" s="1210"/>
      <c r="B145" s="1863"/>
      <c r="C145" s="1863"/>
      <c r="D145" s="573"/>
      <c r="K145" s="1384"/>
      <c r="L145" s="1863"/>
      <c r="M145" s="1863"/>
      <c r="N145" s="1384"/>
      <c r="O145" s="1384"/>
      <c r="P145" s="1384"/>
      <c r="Q145" s="1384"/>
      <c r="R145" s="1863"/>
      <c r="S145" s="1384"/>
      <c r="T145" s="1384"/>
      <c r="U145" s="766"/>
      <c r="V145" s="1384"/>
      <c r="W145" s="1384"/>
      <c r="X145" s="1384"/>
      <c r="Y145" s="1384"/>
      <c r="Z145" s="1384"/>
      <c r="AA145" s="1859"/>
      <c r="AB145" s="788"/>
      <c r="AC145" s="788"/>
      <c r="AD145" s="788"/>
      <c r="AE145" s="788"/>
    </row>
    <row s="16671" customFormat="1" customHeight="1" ht="11.25">
      <c r="A146" s="1210"/>
      <c r="B146" s="1863"/>
      <c r="C146" s="1863"/>
      <c r="D146" s="573"/>
      <c r="K146" s="1384"/>
      <c r="L146" s="1863"/>
      <c r="M146" s="1863"/>
      <c r="N146" s="1384"/>
      <c r="O146" s="1384"/>
      <c r="P146" s="1384"/>
      <c r="Q146" s="1384"/>
      <c r="R146" s="1863"/>
      <c r="S146" s="1384"/>
      <c r="T146" s="1384"/>
      <c r="U146" s="766"/>
      <c r="V146" s="1384"/>
      <c r="W146" s="1384"/>
      <c r="X146" s="1384"/>
      <c r="Y146" s="1384"/>
      <c r="Z146" s="1384"/>
      <c r="AA146" s="1859"/>
      <c r="AB146" s="788"/>
      <c r="AC146" s="788"/>
      <c r="AD146" s="788"/>
      <c r="AE146" s="788"/>
    </row>
    <row s="16671" customFormat="1" customHeight="1" ht="11.25">
      <c r="A147" s="1210"/>
      <c r="B147" s="1863"/>
      <c r="C147" s="1863"/>
      <c r="D147" s="573"/>
      <c r="K147" s="1384"/>
      <c r="L147" s="1863"/>
      <c r="M147" s="1863"/>
      <c r="N147" s="1384"/>
      <c r="O147" s="1384"/>
      <c r="P147" s="1384"/>
      <c r="Q147" s="1384"/>
      <c r="R147" s="1863"/>
      <c r="S147" s="1384"/>
      <c r="T147" s="1384"/>
      <c r="U147" s="766"/>
      <c r="V147" s="1384"/>
      <c r="W147" s="1384"/>
      <c r="X147" s="1384"/>
      <c r="Y147" s="1384"/>
      <c r="Z147" s="1384"/>
      <c r="AA147" s="1859"/>
      <c r="AB147" s="788"/>
      <c r="AC147" s="788"/>
      <c r="AD147" s="788"/>
      <c r="AE147" s="788"/>
    </row>
    <row s="16671" customFormat="1" customHeight="1" ht="11.25">
      <c r="A148" s="1210"/>
      <c r="B148" s="1863"/>
      <c r="C148" s="1863"/>
      <c r="D148" s="573"/>
      <c r="K148" s="1384"/>
      <c r="L148" s="1863"/>
      <c r="M148" s="1863"/>
      <c r="N148" s="1384"/>
      <c r="O148" s="1384"/>
      <c r="P148" s="1384"/>
      <c r="Q148" s="1384"/>
      <c r="R148" s="1863"/>
      <c r="S148" s="1384"/>
      <c r="T148" s="1384"/>
      <c r="U148" s="766"/>
      <c r="V148" s="1384"/>
      <c r="W148" s="1384"/>
      <c r="X148" s="1384"/>
      <c r="Y148" s="1384"/>
      <c r="Z148" s="1384"/>
      <c r="AA148" s="1859"/>
      <c r="AB148" s="788"/>
      <c r="AC148" s="788"/>
      <c r="AD148" s="788"/>
      <c r="AE148" s="788"/>
    </row>
    <row s="16671" customFormat="1" customHeight="1" ht="11.25">
      <c r="A149" s="1210"/>
      <c r="B149" s="1863"/>
      <c r="C149" s="1863"/>
      <c r="D149" s="573"/>
      <c r="K149" s="1384"/>
      <c r="L149" s="1863"/>
      <c r="M149" s="1863"/>
      <c r="N149" s="1384"/>
      <c r="O149" s="1384"/>
      <c r="P149" s="1384"/>
      <c r="Q149" s="1384"/>
      <c r="R149" s="1863"/>
      <c r="S149" s="1384"/>
      <c r="T149" s="1384"/>
      <c r="U149" s="766"/>
      <c r="V149" s="1384"/>
      <c r="W149" s="1384"/>
      <c r="X149" s="1384"/>
      <c r="Y149" s="1384"/>
      <c r="Z149" s="1384"/>
      <c r="AA149" s="1859"/>
      <c r="AB149" s="788"/>
      <c r="AC149" s="788"/>
      <c r="AD149" s="788"/>
      <c r="AE149" s="788"/>
    </row>
    <row s="16671" customFormat="1" customHeight="1" ht="11.25">
      <c r="A150" s="1210"/>
      <c r="B150" s="1863"/>
      <c r="C150" s="1863"/>
      <c r="D150" s="573"/>
      <c r="K150" s="1384"/>
      <c r="L150" s="1863"/>
      <c r="M150" s="1863"/>
      <c r="N150" s="1384"/>
      <c r="O150" s="1384"/>
      <c r="P150" s="1384"/>
      <c r="Q150" s="1384"/>
      <c r="R150" s="1863"/>
      <c r="S150" s="1384"/>
      <c r="T150" s="1384"/>
      <c r="U150" s="766"/>
      <c r="V150" s="1384"/>
      <c r="W150" s="1384"/>
      <c r="X150" s="1384"/>
      <c r="Y150" s="1384"/>
      <c r="Z150" s="1384"/>
      <c r="AA150" s="1859"/>
      <c r="AB150" s="788"/>
      <c r="AC150" s="788"/>
      <c r="AD150" s="788"/>
      <c r="AE150" s="788"/>
    </row>
    <row s="16671" customFormat="1" customHeight="1" ht="11.25">
      <c r="A151" s="1210"/>
      <c r="B151" s="1863"/>
      <c r="C151" s="1863"/>
      <c r="D151" s="573"/>
      <c r="K151" s="1384"/>
      <c r="L151" s="1863"/>
      <c r="M151" s="1863"/>
      <c r="N151" s="1384"/>
      <c r="O151" s="1384"/>
      <c r="P151" s="1384"/>
      <c r="Q151" s="1384"/>
      <c r="R151" s="1863"/>
      <c r="S151" s="1384"/>
      <c r="T151" s="1384"/>
      <c r="U151" s="766"/>
      <c r="V151" s="1384"/>
      <c r="W151" s="1384"/>
      <c r="X151" s="1384"/>
      <c r="Y151" s="1384"/>
      <c r="Z151" s="1384"/>
      <c r="AA151" s="1859"/>
      <c r="AB151" s="788"/>
      <c r="AC151" s="788"/>
      <c r="AD151" s="788"/>
      <c r="AE151" s="788"/>
    </row>
    <row s="16671" customFormat="1" customHeight="1" ht="11.25">
      <c r="A152" s="1210"/>
      <c r="B152" s="1863"/>
      <c r="C152" s="1863"/>
      <c r="D152" s="573"/>
      <c r="K152" s="1384"/>
      <c r="L152" s="1863"/>
      <c r="M152" s="1863"/>
      <c r="N152" s="1384"/>
      <c r="O152" s="1384"/>
      <c r="P152" s="1384"/>
      <c r="Q152" s="1384"/>
      <c r="R152" s="1863"/>
      <c r="S152" s="1384"/>
      <c r="T152" s="1384"/>
      <c r="U152" s="766"/>
      <c r="V152" s="1384"/>
      <c r="W152" s="1384"/>
      <c r="X152" s="1384"/>
      <c r="Y152" s="1384"/>
      <c r="Z152" s="1384"/>
      <c r="AA152" s="1859"/>
      <c r="AB152" s="788"/>
      <c r="AC152" s="788"/>
      <c r="AD152" s="788"/>
      <c r="AE152" s="788"/>
    </row>
    <row s="16671" customFormat="1" customHeight="1" ht="11.25">
      <c r="A153" s="1210"/>
      <c r="B153" s="1863"/>
      <c r="C153" s="1863"/>
      <c r="D153" s="573"/>
      <c r="K153" s="1384"/>
      <c r="L153" s="1863"/>
      <c r="M153" s="1863"/>
      <c r="N153" s="1384"/>
      <c r="O153" s="1384"/>
      <c r="P153" s="1384"/>
      <c r="Q153" s="1384"/>
      <c r="R153" s="1863"/>
      <c r="S153" s="1384"/>
      <c r="T153" s="1384"/>
      <c r="U153" s="766"/>
      <c r="V153" s="1384"/>
      <c r="W153" s="1384"/>
      <c r="X153" s="1384"/>
      <c r="Y153" s="1384"/>
      <c r="Z153" s="1384"/>
      <c r="AA153" s="1859"/>
      <c r="AB153" s="788"/>
      <c r="AC153" s="788"/>
      <c r="AD153" s="788"/>
      <c r="AE153" s="788"/>
    </row>
    <row s="16671" customFormat="1" customHeight="1" ht="11.25">
      <c r="A154" s="1210"/>
      <c r="B154" s="1863"/>
      <c r="C154" s="1863"/>
      <c r="D154" s="573"/>
      <c r="K154" s="1384"/>
      <c r="L154" s="1863"/>
      <c r="M154" s="1863"/>
      <c r="N154" s="1384"/>
      <c r="O154" s="1384"/>
      <c r="P154" s="1384"/>
      <c r="Q154" s="1384"/>
      <c r="R154" s="1863"/>
      <c r="S154" s="1384"/>
      <c r="T154" s="1384"/>
      <c r="U154" s="766"/>
      <c r="V154" s="1384"/>
      <c r="W154" s="1384"/>
      <c r="X154" s="1384"/>
      <c r="Y154" s="1384"/>
      <c r="Z154" s="1384"/>
      <c r="AA154" s="1859"/>
      <c r="AB154" s="788"/>
      <c r="AC154" s="788"/>
      <c r="AD154" s="788"/>
      <c r="AE154" s="788"/>
    </row>
    <row s="16671" customFormat="1" customHeight="1" ht="11.25">
      <c r="A155" s="1210"/>
      <c r="B155" s="1863"/>
      <c r="C155" s="1863"/>
      <c r="D155" s="573"/>
      <c r="K155" s="1384"/>
      <c r="L155" s="1863"/>
      <c r="M155" s="1863"/>
      <c r="N155" s="1384"/>
      <c r="O155" s="1384"/>
      <c r="P155" s="1384"/>
      <c r="Q155" s="1384"/>
      <c r="R155" s="1863"/>
      <c r="S155" s="1384"/>
      <c r="T155" s="1384"/>
      <c r="U155" s="766"/>
      <c r="V155" s="1384"/>
      <c r="W155" s="1384"/>
      <c r="X155" s="1384"/>
      <c r="Y155" s="1384"/>
      <c r="Z155" s="1384"/>
      <c r="AA155" s="1859"/>
      <c r="AB155" s="788"/>
      <c r="AC155" s="788"/>
      <c r="AD155" s="788"/>
      <c r="AE155" s="788"/>
    </row>
    <row s="16671" customFormat="1" customHeight="1" ht="11.25">
      <c r="A156" s="1210"/>
      <c r="B156" s="1863"/>
      <c r="C156" s="1863"/>
      <c r="D156" s="573"/>
      <c r="K156" s="1384"/>
      <c r="L156" s="1863"/>
      <c r="M156" s="1863"/>
      <c r="N156" s="1384"/>
      <c r="O156" s="1384"/>
      <c r="P156" s="1384"/>
      <c r="Q156" s="1384"/>
      <c r="R156" s="1863"/>
      <c r="S156" s="1384"/>
      <c r="T156" s="1384"/>
      <c r="U156" s="766"/>
      <c r="V156" s="1384"/>
      <c r="W156" s="1384"/>
      <c r="X156" s="1384"/>
      <c r="Y156" s="1384"/>
      <c r="Z156" s="1384"/>
      <c r="AA156" s="1859"/>
      <c r="AB156" s="788"/>
      <c r="AC156" s="788"/>
      <c r="AD156" s="788"/>
      <c r="AE156" s="788"/>
    </row>
    <row s="16671" customFormat="1" customHeight="1" ht="11.25">
      <c r="A157" s="1210"/>
      <c r="B157" s="1863"/>
      <c r="C157" s="1863"/>
      <c r="D157" s="573"/>
      <c r="K157" s="1384"/>
      <c r="L157" s="1863"/>
      <c r="M157" s="1863"/>
      <c r="N157" s="1384"/>
      <c r="O157" s="1384"/>
      <c r="P157" s="1384"/>
      <c r="Q157" s="1384"/>
      <c r="R157" s="1863"/>
      <c r="S157" s="1384"/>
      <c r="T157" s="1384"/>
      <c r="U157" s="766"/>
      <c r="V157" s="1384"/>
      <c r="W157" s="1384"/>
      <c r="X157" s="1384"/>
      <c r="Y157" s="1384"/>
      <c r="Z157" s="1384"/>
      <c r="AA157" s="1859"/>
      <c r="AB157" s="788"/>
      <c r="AC157" s="788"/>
      <c r="AD157" s="788"/>
      <c r="AE157" s="788"/>
    </row>
    <row s="16671" customFormat="1" customHeight="1" ht="11.25">
      <c r="A158" s="1210"/>
      <c r="B158" s="1863"/>
      <c r="C158" s="1863"/>
      <c r="D158" s="573"/>
      <c r="K158" s="1384"/>
      <c r="L158" s="1863"/>
      <c r="M158" s="1863"/>
      <c r="N158" s="1384"/>
      <c r="O158" s="1384"/>
      <c r="P158" s="1384"/>
      <c r="Q158" s="1384"/>
      <c r="R158" s="1863"/>
      <c r="S158" s="1384"/>
      <c r="T158" s="1384"/>
      <c r="U158" s="766"/>
      <c r="V158" s="1384"/>
      <c r="W158" s="1384"/>
      <c r="X158" s="1384"/>
      <c r="Y158" s="1384"/>
      <c r="Z158" s="1384"/>
      <c r="AA158" s="1859"/>
      <c r="AB158" s="788"/>
      <c r="AC158" s="788"/>
      <c r="AD158" s="788"/>
      <c r="AE158" s="788"/>
    </row>
    <row s="16671" customFormat="1" customHeight="1" ht="11.25">
      <c r="A159" s="1210"/>
      <c r="B159" s="1863"/>
      <c r="C159" s="1863"/>
      <c r="D159" s="573"/>
      <c r="K159" s="1384"/>
      <c r="L159" s="1863"/>
      <c r="M159" s="1863"/>
      <c r="N159" s="1384"/>
      <c r="O159" s="1384"/>
      <c r="P159" s="1384"/>
      <c r="Q159" s="1384"/>
      <c r="R159" s="1863"/>
      <c r="S159" s="1384"/>
      <c r="T159" s="1384"/>
      <c r="U159" s="766"/>
      <c r="V159" s="1384"/>
      <c r="W159" s="1384"/>
      <c r="X159" s="1384"/>
      <c r="Y159" s="1384"/>
      <c r="Z159" s="1384"/>
      <c r="AA159" s="1859"/>
      <c r="AB159" s="788"/>
      <c r="AC159" s="788"/>
      <c r="AD159" s="788"/>
      <c r="AE159" s="788"/>
    </row>
    <row s="16671" customFormat="1" customHeight="1" ht="11.25">
      <c r="A160" s="1210"/>
      <c r="B160" s="1863"/>
      <c r="C160" s="1863"/>
      <c r="D160" s="573"/>
      <c r="K160" s="1384"/>
      <c r="L160" s="1863"/>
      <c r="M160" s="1863"/>
      <c r="N160" s="1384"/>
      <c r="O160" s="1384"/>
      <c r="P160" s="1384"/>
      <c r="Q160" s="1384"/>
      <c r="R160" s="1863"/>
      <c r="S160" s="1384"/>
      <c r="T160" s="1384"/>
      <c r="U160" s="766"/>
      <c r="V160" s="1384"/>
      <c r="W160" s="1384"/>
      <c r="X160" s="1384"/>
      <c r="Y160" s="1384"/>
      <c r="Z160" s="1384"/>
      <c r="AA160" s="1859"/>
      <c r="AB160" s="788"/>
      <c r="AC160" s="788"/>
      <c r="AD160" s="788"/>
      <c r="AE160" s="788"/>
    </row>
    <row s="16671" customFormat="1" customHeight="1" ht="11.25">
      <c r="A161" s="1210"/>
      <c r="B161" s="1863"/>
      <c r="C161" s="1863"/>
      <c r="D161" s="573"/>
      <c r="K161" s="1384"/>
      <c r="L161" s="1863"/>
      <c r="M161" s="1863"/>
      <c r="N161" s="1384"/>
      <c r="O161" s="1384"/>
      <c r="P161" s="1384"/>
      <c r="Q161" s="1384"/>
      <c r="R161" s="1863"/>
      <c r="S161" s="1384"/>
      <c r="T161" s="1384"/>
      <c r="U161" s="766"/>
      <c r="V161" s="1384"/>
      <c r="W161" s="1384"/>
      <c r="X161" s="1384"/>
      <c r="Y161" s="1384"/>
      <c r="Z161" s="1384"/>
      <c r="AA161" s="1859"/>
      <c r="AB161" s="788"/>
      <c r="AC161" s="788"/>
      <c r="AD161" s="788"/>
      <c r="AE161" s="788"/>
    </row>
    <row s="16671" customFormat="1" customHeight="1" ht="11.25">
      <c r="A162" s="1210"/>
      <c r="B162" s="1863"/>
      <c r="C162" s="1863"/>
      <c r="D162" s="573"/>
      <c r="K162" s="1384"/>
      <c r="L162" s="1863"/>
      <c r="M162" s="1863"/>
      <c r="N162" s="1384"/>
      <c r="O162" s="1384"/>
      <c r="P162" s="1384"/>
      <c r="Q162" s="1384"/>
      <c r="R162" s="1863"/>
      <c r="S162" s="1384"/>
      <c r="T162" s="1384"/>
      <c r="U162" s="766"/>
      <c r="V162" s="1384"/>
      <c r="W162" s="1384"/>
      <c r="X162" s="1384"/>
      <c r="Y162" s="1384"/>
      <c r="Z162" s="1384"/>
      <c r="AA162" s="1859"/>
      <c r="AB162" s="788"/>
      <c r="AC162" s="788"/>
      <c r="AD162" s="788"/>
      <c r="AE162" s="788"/>
    </row>
    <row s="16671" customFormat="1" customHeight="1" ht="11.25">
      <c r="A163" s="1210"/>
      <c r="B163" s="1863"/>
      <c r="C163" s="1863"/>
      <c r="D163" s="573"/>
      <c r="K163" s="1384"/>
      <c r="L163" s="1863"/>
      <c r="M163" s="1863"/>
      <c r="N163" s="1384"/>
      <c r="O163" s="1384"/>
      <c r="P163" s="1384"/>
      <c r="Q163" s="1384"/>
      <c r="R163" s="1863"/>
      <c r="S163" s="1384"/>
      <c r="T163" s="1384"/>
      <c r="U163" s="766"/>
      <c r="V163" s="1384"/>
      <c r="W163" s="1384"/>
      <c r="X163" s="1384"/>
      <c r="Y163" s="1384"/>
      <c r="Z163" s="1384"/>
      <c r="AA163" s="1859"/>
      <c r="AB163" s="788"/>
      <c r="AC163" s="788"/>
      <c r="AD163" s="788"/>
      <c r="AE163" s="788"/>
    </row>
    <row s="16671" customFormat="1" customHeight="1" ht="11.25">
      <c r="A164" s="1210"/>
      <c r="B164" s="1863"/>
      <c r="C164" s="1863"/>
      <c r="D164" s="573"/>
      <c r="K164" s="1384"/>
      <c r="L164" s="1863"/>
      <c r="M164" s="1863"/>
      <c r="N164" s="1384"/>
      <c r="O164" s="1384"/>
      <c r="P164" s="1384"/>
      <c r="Q164" s="1384"/>
      <c r="R164" s="1863"/>
      <c r="S164" s="1384"/>
      <c r="T164" s="1384"/>
      <c r="U164" s="766"/>
      <c r="V164" s="1384"/>
      <c r="W164" s="1384"/>
      <c r="X164" s="1384"/>
      <c r="Y164" s="1384"/>
      <c r="Z164" s="1384"/>
      <c r="AA164" s="1859"/>
      <c r="AB164" s="788"/>
      <c r="AC164" s="788"/>
      <c r="AD164" s="788"/>
      <c r="AE164" s="788"/>
    </row>
    <row s="16671" customFormat="1" customHeight="1" ht="11.25">
      <c r="A165" s="1210"/>
      <c r="B165" s="1863"/>
      <c r="C165" s="1863"/>
      <c r="D165" s="573"/>
      <c r="K165" s="1384"/>
      <c r="L165" s="1863"/>
      <c r="M165" s="1863"/>
      <c r="N165" s="1384"/>
      <c r="O165" s="1384"/>
      <c r="P165" s="1384"/>
      <c r="Q165" s="1384"/>
      <c r="R165" s="1863"/>
      <c r="S165" s="1384"/>
      <c r="T165" s="1384"/>
      <c r="U165" s="766"/>
      <c r="V165" s="1384"/>
      <c r="W165" s="1384"/>
      <c r="X165" s="1384"/>
      <c r="Y165" s="1384"/>
      <c r="Z165" s="1384"/>
      <c r="AA165" s="1859"/>
      <c r="AB165" s="788"/>
      <c r="AC165" s="788"/>
      <c r="AD165" s="788"/>
      <c r="AE165" s="788"/>
    </row>
    <row s="16671" customFormat="1" customHeight="1" ht="11.25">
      <c r="A166" s="1210"/>
      <c r="B166" s="1863"/>
      <c r="C166" s="1863"/>
      <c r="D166" s="573"/>
      <c r="K166" s="1384"/>
      <c r="L166" s="1863"/>
      <c r="M166" s="1863"/>
      <c r="N166" s="1384"/>
      <c r="O166" s="1384"/>
      <c r="P166" s="1384"/>
      <c r="Q166" s="1384"/>
      <c r="R166" s="1863"/>
      <c r="S166" s="1384"/>
      <c r="T166" s="1384"/>
      <c r="U166" s="766"/>
      <c r="V166" s="1384"/>
      <c r="W166" s="1384"/>
      <c r="X166" s="1384"/>
      <c r="Y166" s="1384"/>
      <c r="Z166" s="1384"/>
      <c r="AA166" s="1859"/>
      <c r="AB166" s="788"/>
      <c r="AC166" s="788"/>
      <c r="AD166" s="788"/>
      <c r="AE166" s="788"/>
    </row>
    <row s="16671" customFormat="1" customHeight="1" ht="11.25">
      <c r="A167" s="1210"/>
      <c r="B167" s="1863"/>
      <c r="C167" s="1863"/>
      <c r="D167" s="573"/>
      <c r="K167" s="1384"/>
      <c r="L167" s="1863"/>
      <c r="M167" s="1863"/>
      <c r="N167" s="1384"/>
      <c r="O167" s="1384"/>
      <c r="P167" s="1384"/>
      <c r="Q167" s="1384"/>
      <c r="R167" s="1863"/>
      <c r="S167" s="1384"/>
      <c r="T167" s="1384"/>
      <c r="U167" s="766"/>
      <c r="V167" s="1384"/>
      <c r="W167" s="1384"/>
      <c r="X167" s="1384"/>
      <c r="Y167" s="1384"/>
      <c r="Z167" s="1384"/>
      <c r="AA167" s="1859"/>
      <c r="AB167" s="788"/>
      <c r="AC167" s="788"/>
      <c r="AD167" s="788"/>
      <c r="AE167" s="788"/>
    </row>
    <row s="16671" customFormat="1" customHeight="1" ht="11.25">
      <c r="A168" s="1210"/>
      <c r="B168" s="1863"/>
      <c r="C168" s="1863"/>
      <c r="D168" s="573"/>
      <c r="K168" s="1384"/>
      <c r="L168" s="1863"/>
      <c r="M168" s="1863"/>
      <c r="N168" s="1384"/>
      <c r="O168" s="1384"/>
      <c r="P168" s="1384"/>
      <c r="Q168" s="1384"/>
      <c r="R168" s="1863"/>
      <c r="S168" s="1384"/>
      <c r="T168" s="1384"/>
      <c r="U168" s="766"/>
      <c r="V168" s="1384"/>
      <c r="W168" s="1384"/>
      <c r="X168" s="1384"/>
      <c r="Y168" s="1384"/>
      <c r="Z168" s="1384"/>
      <c r="AA168" s="1859"/>
      <c r="AB168" s="788"/>
      <c r="AC168" s="788"/>
      <c r="AD168" s="788"/>
      <c r="AE168" s="788"/>
    </row>
    <row s="16671" customFormat="1" customHeight="1" ht="11.25">
      <c r="A169" s="1210"/>
      <c r="B169" s="1863"/>
      <c r="C169" s="1863"/>
      <c r="D169" s="573"/>
      <c r="K169" s="1384"/>
      <c r="L169" s="1863"/>
      <c r="M169" s="1863"/>
      <c r="N169" s="1384"/>
      <c r="O169" s="1384"/>
      <c r="P169" s="1384"/>
      <c r="Q169" s="1384"/>
      <c r="R169" s="1863"/>
      <c r="S169" s="1384"/>
      <c r="T169" s="1384"/>
      <c r="U169" s="766"/>
      <c r="V169" s="1384"/>
      <c r="W169" s="1384"/>
      <c r="X169" s="1384"/>
      <c r="Y169" s="1384"/>
      <c r="Z169" s="1384"/>
      <c r="AA169" s="1859"/>
      <c r="AB169" s="788"/>
      <c r="AC169" s="788"/>
      <c r="AD169" s="788"/>
      <c r="AE169" s="788"/>
    </row>
    <row s="16671" customFormat="1" customHeight="1" ht="11.25">
      <c r="A170" s="1210"/>
      <c r="B170" s="1863"/>
      <c r="C170" s="1863"/>
      <c r="D170" s="573"/>
      <c r="K170" s="1384"/>
      <c r="L170" s="1863"/>
      <c r="M170" s="1863"/>
      <c r="N170" s="1384"/>
      <c r="O170" s="1384"/>
      <c r="P170" s="1384"/>
      <c r="Q170" s="1384"/>
      <c r="R170" s="1863"/>
      <c r="S170" s="1384"/>
      <c r="T170" s="1384"/>
      <c r="U170" s="766"/>
      <c r="V170" s="1384"/>
      <c r="W170" s="1384"/>
      <c r="X170" s="1384"/>
      <c r="Y170" s="1384"/>
      <c r="Z170" s="1384"/>
      <c r="AA170" s="1859"/>
      <c r="AB170" s="788"/>
      <c r="AC170" s="788"/>
      <c r="AD170" s="788"/>
      <c r="AE170" s="788"/>
    </row>
    <row s="16671" customFormat="1" customHeight="1" ht="11.25">
      <c r="A171" s="1210"/>
      <c r="B171" s="1863"/>
      <c r="C171" s="1863"/>
      <c r="D171" s="573"/>
      <c r="K171" s="1384"/>
      <c r="L171" s="1863"/>
      <c r="M171" s="1863"/>
      <c r="N171" s="1384"/>
      <c r="O171" s="1384"/>
      <c r="P171" s="1384"/>
      <c r="Q171" s="1384"/>
      <c r="R171" s="1863"/>
      <c r="S171" s="1384"/>
      <c r="T171" s="1384"/>
      <c r="U171" s="766"/>
      <c r="V171" s="1384"/>
      <c r="W171" s="1384"/>
      <c r="X171" s="1384"/>
      <c r="Y171" s="1384"/>
      <c r="Z171" s="1384"/>
      <c r="AA171" s="1859"/>
      <c r="AB171" s="788"/>
      <c r="AC171" s="788"/>
      <c r="AD171" s="788"/>
      <c r="AE171" s="788"/>
    </row>
    <row s="16671" customFormat="1" customHeight="1" ht="11.25">
      <c r="A172" s="1210"/>
      <c r="B172" s="1863"/>
      <c r="C172" s="1863"/>
      <c r="D172" s="573"/>
      <c r="K172" s="1384"/>
      <c r="L172" s="1863"/>
      <c r="M172" s="1863"/>
      <c r="N172" s="1384"/>
      <c r="O172" s="1384"/>
      <c r="P172" s="1384"/>
      <c r="Q172" s="1384"/>
      <c r="R172" s="1863"/>
      <c r="S172" s="1384"/>
      <c r="T172" s="1384"/>
      <c r="U172" s="766"/>
      <c r="V172" s="1384"/>
      <c r="W172" s="1384"/>
      <c r="X172" s="1384"/>
      <c r="Y172" s="1384"/>
      <c r="Z172" s="1384"/>
      <c r="AA172" s="1859"/>
      <c r="AB172" s="788"/>
      <c r="AC172" s="788"/>
      <c r="AD172" s="788"/>
      <c r="AE172" s="788"/>
    </row>
    <row s="16671" customFormat="1" customHeight="1" ht="11.25">
      <c r="A173" s="1210"/>
      <c r="B173" s="1863"/>
      <c r="C173" s="1863"/>
      <c r="D173" s="573"/>
      <c r="K173" s="1384"/>
      <c r="L173" s="1863"/>
      <c r="M173" s="1863"/>
      <c r="N173" s="1384"/>
      <c r="O173" s="1384"/>
      <c r="P173" s="1384"/>
      <c r="Q173" s="1384"/>
      <c r="R173" s="1863"/>
      <c r="S173" s="1384"/>
      <c r="T173" s="1384"/>
      <c r="U173" s="766"/>
      <c r="V173" s="1384"/>
      <c r="W173" s="1384"/>
      <c r="X173" s="1384"/>
      <c r="Y173" s="1384"/>
      <c r="Z173" s="1384"/>
      <c r="AA173" s="1859"/>
      <c r="AB173" s="788"/>
      <c r="AC173" s="788"/>
      <c r="AD173" s="788"/>
      <c r="AE173" s="788"/>
    </row>
    <row s="16671" customFormat="1" customHeight="1" ht="11.25">
      <c r="A174" s="1210"/>
      <c r="B174" s="1863"/>
      <c r="C174" s="1863"/>
      <c r="D174" s="573"/>
      <c r="K174" s="1384"/>
      <c r="L174" s="1863"/>
      <c r="M174" s="1863"/>
      <c r="N174" s="1384"/>
      <c r="O174" s="1384"/>
      <c r="P174" s="1384"/>
      <c r="Q174" s="1384"/>
      <c r="R174" s="1863"/>
      <c r="S174" s="1384"/>
      <c r="T174" s="1384"/>
      <c r="U174" s="766"/>
      <c r="V174" s="1384"/>
      <c r="W174" s="1384"/>
      <c r="X174" s="1384"/>
      <c r="Y174" s="1384"/>
      <c r="Z174" s="1384"/>
      <c r="AA174" s="1859"/>
      <c r="AB174" s="788"/>
      <c r="AC174" s="788"/>
      <c r="AD174" s="788"/>
      <c r="AE174" s="788"/>
    </row>
    <row s="16671" customFormat="1" customHeight="1" ht="11.25">
      <c r="A175" s="1210"/>
      <c r="B175" s="1863"/>
      <c r="C175" s="1863"/>
      <c r="D175" s="573"/>
      <c r="K175" s="1384"/>
      <c r="L175" s="1863"/>
      <c r="M175" s="1863"/>
      <c r="N175" s="1384"/>
      <c r="O175" s="1384"/>
      <c r="P175" s="1384"/>
      <c r="Q175" s="1384"/>
      <c r="R175" s="1863"/>
      <c r="S175" s="1384"/>
      <c r="T175" s="1384"/>
      <c r="U175" s="766"/>
      <c r="V175" s="1384"/>
      <c r="W175" s="1384"/>
      <c r="X175" s="1384"/>
      <c r="Y175" s="1384"/>
      <c r="Z175" s="1384"/>
      <c r="AA175" s="1859"/>
      <c r="AB175" s="788"/>
      <c r="AC175" s="788"/>
      <c r="AD175" s="788"/>
      <c r="AE175" s="788"/>
    </row>
    <row s="16671" customFormat="1" customHeight="1" ht="11.25">
      <c r="A176" s="1210"/>
      <c r="B176" s="1863"/>
      <c r="C176" s="1863"/>
      <c r="D176" s="573"/>
      <c r="K176" s="1384"/>
      <c r="L176" s="1863"/>
      <c r="M176" s="1863"/>
      <c r="N176" s="1384"/>
      <c r="O176" s="1384"/>
      <c r="P176" s="1384"/>
      <c r="Q176" s="1384"/>
      <c r="R176" s="1863"/>
      <c r="S176" s="1384"/>
      <c r="T176" s="1384"/>
      <c r="U176" s="766"/>
      <c r="V176" s="1384"/>
      <c r="W176" s="1384"/>
      <c r="X176" s="1384"/>
      <c r="Y176" s="1384"/>
      <c r="Z176" s="1384"/>
      <c r="AA176" s="1859"/>
      <c r="AB176" s="788"/>
      <c r="AC176" s="788"/>
      <c r="AD176" s="788"/>
      <c r="AE176" s="788"/>
    </row>
    <row s="16671" customFormat="1" customHeight="1" ht="11.25">
      <c r="A177" s="1210"/>
      <c r="B177" s="1863"/>
      <c r="C177" s="1863"/>
      <c r="D177" s="573"/>
      <c r="K177" s="1384"/>
      <c r="L177" s="1863"/>
      <c r="M177" s="1863"/>
      <c r="N177" s="1384"/>
      <c r="O177" s="1384"/>
      <c r="P177" s="1384"/>
      <c r="Q177" s="1384"/>
      <c r="R177" s="1863"/>
      <c r="S177" s="1384"/>
      <c r="T177" s="1384"/>
      <c r="U177" s="766"/>
      <c r="V177" s="1384"/>
      <c r="W177" s="1384"/>
      <c r="X177" s="1384"/>
      <c r="Y177" s="1384"/>
      <c r="Z177" s="1384"/>
      <c r="AA177" s="1859"/>
      <c r="AB177" s="788"/>
      <c r="AC177" s="788"/>
      <c r="AD177" s="788"/>
      <c r="AE177" s="788"/>
    </row>
    <row s="16671" customFormat="1" customHeight="1" ht="11.25">
      <c r="A178" s="1210"/>
      <c r="B178" s="1863"/>
      <c r="C178" s="1863"/>
      <c r="D178" s="573"/>
      <c r="K178" s="1384"/>
      <c r="L178" s="1863"/>
      <c r="M178" s="1863"/>
      <c r="N178" s="1384"/>
      <c r="O178" s="1384"/>
      <c r="P178" s="1384"/>
      <c r="Q178" s="1384"/>
      <c r="R178" s="1863"/>
      <c r="S178" s="1384"/>
      <c r="T178" s="1384"/>
      <c r="U178" s="766"/>
      <c r="V178" s="1384"/>
      <c r="W178" s="1384"/>
      <c r="X178" s="1384"/>
      <c r="Y178" s="1384"/>
      <c r="Z178" s="1384"/>
      <c r="AA178" s="1859"/>
      <c r="AB178" s="788"/>
      <c r="AC178" s="788"/>
      <c r="AD178" s="788"/>
      <c r="AE178" s="788"/>
    </row>
    <row s="16671" customFormat="1" customHeight="1" ht="11.25">
      <c r="A179" s="1210"/>
      <c r="B179" s="1863"/>
      <c r="C179" s="1863"/>
      <c r="D179" s="573"/>
      <c r="K179" s="1384"/>
      <c r="L179" s="1863"/>
      <c r="M179" s="1863"/>
      <c r="N179" s="1384"/>
      <c r="O179" s="1384"/>
      <c r="P179" s="1384"/>
      <c r="Q179" s="1384"/>
      <c r="R179" s="1863"/>
      <c r="S179" s="1384"/>
      <c r="T179" s="1384"/>
      <c r="U179" s="766"/>
      <c r="V179" s="1384"/>
      <c r="W179" s="1384"/>
      <c r="X179" s="1384"/>
      <c r="Y179" s="1384"/>
      <c r="Z179" s="1384"/>
      <c r="AA179" s="1859"/>
      <c r="AB179" s="788"/>
      <c r="AC179" s="788"/>
      <c r="AD179" s="788"/>
      <c r="AE179" s="788"/>
    </row>
    <row s="16671" customFormat="1" customHeight="1" ht="11.25">
      <c r="A180" s="1210"/>
      <c r="B180" s="1863"/>
      <c r="C180" s="1863"/>
      <c r="D180" s="573"/>
      <c r="K180" s="1384"/>
      <c r="L180" s="1863"/>
      <c r="M180" s="1863"/>
      <c r="N180" s="1384"/>
      <c r="O180" s="1384"/>
      <c r="P180" s="1384"/>
      <c r="Q180" s="1384"/>
      <c r="R180" s="1863"/>
      <c r="S180" s="1384"/>
      <c r="T180" s="1384"/>
      <c r="U180" s="766"/>
      <c r="V180" s="1384"/>
      <c r="W180" s="1384"/>
      <c r="X180" s="1384"/>
      <c r="Y180" s="1384"/>
      <c r="Z180" s="1384"/>
      <c r="AA180" s="1859"/>
      <c r="AB180" s="788"/>
      <c r="AC180" s="788"/>
      <c r="AD180" s="788"/>
      <c r="AE180" s="788"/>
    </row>
    <row s="16671" customFormat="1" customHeight="1" ht="11.25">
      <c r="A181" s="1210"/>
      <c r="B181" s="1863"/>
      <c r="C181" s="1863"/>
      <c r="D181" s="573"/>
      <c r="K181" s="1384"/>
      <c r="L181" s="1863"/>
      <c r="M181" s="1863"/>
      <c r="N181" s="1384"/>
      <c r="O181" s="1384"/>
      <c r="P181" s="1384"/>
      <c r="Q181" s="1384"/>
      <c r="R181" s="1863"/>
      <c r="S181" s="1384"/>
      <c r="T181" s="1384"/>
      <c r="U181" s="766"/>
      <c r="V181" s="1384"/>
      <c r="W181" s="1384"/>
      <c r="X181" s="1384"/>
      <c r="Y181" s="1384"/>
      <c r="Z181" s="1384"/>
      <c r="AA181" s="1859"/>
      <c r="AB181" s="788"/>
      <c r="AC181" s="788"/>
      <c r="AD181" s="788"/>
      <c r="AE181" s="788"/>
    </row>
    <row s="16671" customFormat="1" customHeight="1" ht="11.25">
      <c r="A182" s="1210"/>
      <c r="B182" s="1863"/>
      <c r="C182" s="1863"/>
      <c r="D182" s="573"/>
      <c r="K182" s="1384"/>
      <c r="L182" s="1863"/>
      <c r="M182" s="1863"/>
      <c r="N182" s="1384"/>
      <c r="O182" s="1384"/>
      <c r="P182" s="1384"/>
      <c r="Q182" s="1384"/>
      <c r="R182" s="1863"/>
      <c r="S182" s="1384"/>
      <c r="T182" s="1384"/>
      <c r="U182" s="766"/>
      <c r="V182" s="1384"/>
      <c r="W182" s="1384"/>
      <c r="X182" s="1384"/>
      <c r="Y182" s="1384"/>
      <c r="Z182" s="1384"/>
      <c r="AA182" s="1859"/>
      <c r="AB182" s="788"/>
      <c r="AC182" s="788"/>
      <c r="AD182" s="788"/>
      <c r="AE182" s="788"/>
    </row>
    <row s="16671" customFormat="1" customHeight="1" ht="11.25">
      <c r="A183" s="1210"/>
      <c r="B183" s="1863"/>
      <c r="C183" s="1863"/>
      <c r="D183" s="573"/>
      <c r="K183" s="1384"/>
      <c r="L183" s="1863"/>
      <c r="M183" s="1863"/>
      <c r="N183" s="1384"/>
      <c r="O183" s="1384"/>
      <c r="P183" s="1384"/>
      <c r="Q183" s="1384"/>
      <c r="R183" s="1863"/>
      <c r="S183" s="1384"/>
      <c r="T183" s="1384"/>
      <c r="U183" s="766"/>
      <c r="V183" s="1384"/>
      <c r="W183" s="1384"/>
      <c r="X183" s="1384"/>
      <c r="Y183" s="1384"/>
      <c r="Z183" s="1384"/>
      <c r="AA183" s="1859"/>
      <c r="AB183" s="788"/>
      <c r="AC183" s="788"/>
      <c r="AD183" s="788"/>
      <c r="AE183" s="788"/>
    </row>
    <row s="16671" customFormat="1" customHeight="1" ht="11.25">
      <c r="A184" s="1210"/>
      <c r="B184" s="1863"/>
      <c r="C184" s="1863"/>
      <c r="D184" s="573"/>
      <c r="K184" s="1384"/>
      <c r="L184" s="1863"/>
      <c r="M184" s="1863"/>
      <c r="N184" s="1384"/>
      <c r="O184" s="1384"/>
      <c r="P184" s="1384"/>
      <c r="Q184" s="1384"/>
      <c r="R184" s="1863"/>
      <c r="S184" s="1384"/>
      <c r="T184" s="1384"/>
      <c r="U184" s="766"/>
      <c r="V184" s="1384"/>
      <c r="W184" s="1384"/>
      <c r="X184" s="1384"/>
      <c r="Y184" s="1384"/>
      <c r="Z184" s="1384"/>
      <c r="AA184" s="1859"/>
      <c r="AB184" s="788"/>
      <c r="AC184" s="788"/>
      <c r="AD184" s="788"/>
      <c r="AE184" s="788"/>
    </row>
    <row s="16671" customFormat="1" customHeight="1" ht="11.25">
      <c r="A185" s="1210"/>
      <c r="B185" s="1863"/>
      <c r="C185" s="1863"/>
      <c r="D185" s="573"/>
      <c r="K185" s="1384"/>
      <c r="L185" s="1863"/>
      <c r="M185" s="1863"/>
      <c r="N185" s="1384"/>
      <c r="O185" s="1384"/>
      <c r="P185" s="1384"/>
      <c r="Q185" s="1384"/>
      <c r="R185" s="1863"/>
      <c r="S185" s="1384"/>
      <c r="T185" s="1384"/>
      <c r="U185" s="766"/>
      <c r="V185" s="1384"/>
      <c r="W185" s="1384"/>
      <c r="X185" s="1384"/>
      <c r="Y185" s="1384"/>
      <c r="Z185" s="1384"/>
      <c r="AA185" s="1859"/>
      <c r="AB185" s="788"/>
      <c r="AC185" s="788"/>
      <c r="AD185" s="788"/>
      <c r="AE185" s="788"/>
    </row>
    <row s="16671" customFormat="1" customHeight="1" ht="11.25">
      <c r="A186" s="1210"/>
      <c r="B186" s="1863"/>
      <c r="C186" s="1863"/>
      <c r="D186" s="573"/>
      <c r="K186" s="1384"/>
      <c r="L186" s="1863"/>
      <c r="M186" s="1863"/>
      <c r="N186" s="1384"/>
      <c r="O186" s="1384"/>
      <c r="P186" s="1384"/>
      <c r="Q186" s="1384"/>
      <c r="R186" s="1863"/>
      <c r="S186" s="1384"/>
      <c r="T186" s="1384"/>
      <c r="U186" s="766"/>
      <c r="V186" s="1384"/>
      <c r="W186" s="1384"/>
      <c r="X186" s="1384"/>
      <c r="Y186" s="1384"/>
      <c r="Z186" s="1384"/>
      <c r="AA186" s="1859"/>
      <c r="AB186" s="788"/>
      <c r="AC186" s="788"/>
      <c r="AD186" s="788"/>
      <c r="AE186" s="788"/>
    </row>
    <row s="16671" customFormat="1" customHeight="1" ht="11.25">
      <c r="A187" s="1210"/>
      <c r="B187" s="1863"/>
      <c r="C187" s="1863"/>
      <c r="D187" s="573"/>
      <c r="K187" s="1384"/>
      <c r="L187" s="1863"/>
      <c r="M187" s="1863"/>
      <c r="N187" s="1384"/>
      <c r="O187" s="1384"/>
      <c r="P187" s="1384"/>
      <c r="Q187" s="1384"/>
      <c r="R187" s="1863"/>
      <c r="S187" s="1384"/>
      <c r="T187" s="1384"/>
      <c r="U187" s="766"/>
      <c r="V187" s="1384"/>
      <c r="W187" s="1384"/>
      <c r="X187" s="1384"/>
      <c r="Y187" s="1384"/>
      <c r="Z187" s="1384"/>
      <c r="AA187" s="1859"/>
      <c r="AB187" s="788"/>
      <c r="AC187" s="788"/>
      <c r="AD187" s="788"/>
      <c r="AE187" s="788"/>
    </row>
    <row s="16671" customFormat="1" customHeight="1" ht="11.25">
      <c r="A188" s="1210"/>
      <c r="B188" s="1863"/>
      <c r="C188" s="1863"/>
      <c r="D188" s="573"/>
      <c r="K188" s="1384"/>
      <c r="L188" s="1863"/>
      <c r="M188" s="1863"/>
      <c r="N188" s="1384"/>
      <c r="O188" s="1384"/>
      <c r="P188" s="1384"/>
      <c r="Q188" s="1384"/>
      <c r="R188" s="1863"/>
      <c r="S188" s="1384"/>
      <c r="T188" s="1384"/>
      <c r="U188" s="766"/>
      <c r="V188" s="1384"/>
      <c r="W188" s="1384"/>
      <c r="X188" s="1384"/>
      <c r="Y188" s="1384"/>
      <c r="Z188" s="1384"/>
      <c r="AA188" s="1859"/>
      <c r="AB188" s="788"/>
      <c r="AC188" s="788"/>
      <c r="AD188" s="788"/>
      <c r="AE188" s="788"/>
    </row>
    <row s="16671" customFormat="1" customHeight="1" ht="11.25">
      <c r="A189" s="1210"/>
      <c r="B189" s="1863"/>
      <c r="C189" s="1863"/>
      <c r="D189" s="573"/>
      <c r="K189" s="1384"/>
      <c r="L189" s="1863"/>
      <c r="M189" s="1863"/>
      <c r="N189" s="1384"/>
      <c r="O189" s="1384"/>
      <c r="P189" s="1384"/>
      <c r="Q189" s="1384"/>
      <c r="R189" s="1863"/>
      <c r="S189" s="1384"/>
      <c r="T189" s="1384"/>
      <c r="U189" s="766"/>
      <c r="V189" s="1384"/>
      <c r="W189" s="1384"/>
      <c r="X189" s="1384"/>
      <c r="Y189" s="1384"/>
      <c r="Z189" s="1384"/>
      <c r="AA189" s="1859"/>
      <c r="AB189" s="788"/>
      <c r="AC189" s="788"/>
      <c r="AD189" s="788"/>
      <c r="AE189" s="788"/>
    </row>
    <row s="16671" customFormat="1" customHeight="1" ht="11.25">
      <c r="A190" s="1210"/>
      <c r="B190" s="1863"/>
      <c r="C190" s="1863"/>
      <c r="D190" s="573"/>
      <c r="K190" s="1384"/>
      <c r="L190" s="1863"/>
      <c r="M190" s="1863"/>
      <c r="N190" s="1384"/>
      <c r="O190" s="1384"/>
      <c r="P190" s="1384"/>
      <c r="Q190" s="1384"/>
      <c r="R190" s="1863"/>
      <c r="S190" s="1384"/>
      <c r="T190" s="1384"/>
      <c r="U190" s="766"/>
      <c r="V190" s="1384"/>
      <c r="W190" s="1384"/>
      <c r="X190" s="1384"/>
      <c r="Y190" s="1384"/>
      <c r="Z190" s="1384"/>
      <c r="AA190" s="1859"/>
      <c r="AB190" s="788"/>
      <c r="AC190" s="788"/>
      <c r="AD190" s="788"/>
      <c r="AE190" s="788"/>
    </row>
    <row s="16671" customFormat="1" customHeight="1" ht="11.25">
      <c r="A191" s="1210"/>
      <c r="B191" s="1863"/>
      <c r="C191" s="1863"/>
      <c r="D191" s="573"/>
      <c r="K191" s="1384"/>
      <c r="L191" s="1863"/>
      <c r="M191" s="1863"/>
      <c r="N191" s="1384"/>
      <c r="O191" s="1384"/>
      <c r="P191" s="1384"/>
      <c r="Q191" s="1384"/>
      <c r="R191" s="1863"/>
      <c r="S191" s="1384"/>
      <c r="T191" s="1384"/>
      <c r="U191" s="766"/>
      <c r="V191" s="1384"/>
      <c r="W191" s="1384"/>
      <c r="X191" s="1384"/>
      <c r="Y191" s="1384"/>
      <c r="Z191" s="1384"/>
      <c r="AA191" s="1859"/>
      <c r="AB191" s="788"/>
      <c r="AC191" s="788"/>
      <c r="AD191" s="788"/>
      <c r="AE191" s="788"/>
    </row>
    <row s="16671" customFormat="1" customHeight="1" ht="11.25">
      <c r="A192" s="1210"/>
      <c r="B192" s="1863"/>
      <c r="C192" s="1863"/>
      <c r="D192" s="573"/>
      <c r="K192" s="1384"/>
      <c r="L192" s="1863"/>
      <c r="M192" s="1863"/>
      <c r="N192" s="1384"/>
      <c r="O192" s="1384"/>
      <c r="P192" s="1384"/>
      <c r="Q192" s="1384"/>
      <c r="R192" s="1863"/>
      <c r="S192" s="1384"/>
      <c r="T192" s="1384"/>
      <c r="U192" s="766"/>
      <c r="V192" s="1384"/>
      <c r="W192" s="1384"/>
      <c r="X192" s="1384"/>
      <c r="Y192" s="1384"/>
      <c r="Z192" s="1384"/>
      <c r="AA192" s="1859"/>
      <c r="AB192" s="788"/>
      <c r="AC192" s="788"/>
      <c r="AD192" s="788"/>
      <c r="AE192" s="788"/>
    </row>
    <row s="16671" customFormat="1" customHeight="1" ht="11.25">
      <c r="A193" s="1210"/>
      <c r="B193" s="1863"/>
      <c r="C193" s="1863"/>
      <c r="D193" s="573"/>
      <c r="K193" s="1384"/>
      <c r="L193" s="1863"/>
      <c r="M193" s="1863"/>
      <c r="N193" s="1384"/>
      <c r="O193" s="1384"/>
      <c r="P193" s="1384"/>
      <c r="Q193" s="1384"/>
      <c r="R193" s="1863"/>
      <c r="S193" s="1384"/>
      <c r="T193" s="1384"/>
      <c r="U193" s="766"/>
      <c r="V193" s="1384"/>
      <c r="W193" s="1384"/>
      <c r="X193" s="1384"/>
      <c r="Y193" s="1384"/>
      <c r="Z193" s="1384"/>
      <c r="AA193" s="1859"/>
      <c r="AB193" s="788"/>
      <c r="AC193" s="788"/>
      <c r="AD193" s="788"/>
      <c r="AE193" s="788"/>
    </row>
    <row s="16671" customFormat="1" customHeight="1" ht="11.25">
      <c r="A194" s="1210"/>
      <c r="B194" s="1863"/>
      <c r="C194" s="1863"/>
      <c r="D194" s="573"/>
      <c r="K194" s="1384"/>
      <c r="L194" s="1863"/>
      <c r="M194" s="1863"/>
      <c r="N194" s="1384"/>
      <c r="O194" s="1384"/>
      <c r="P194" s="1384"/>
      <c r="Q194" s="1384"/>
      <c r="R194" s="1863"/>
      <c r="S194" s="1384"/>
      <c r="T194" s="1384"/>
      <c r="U194" s="766"/>
      <c r="V194" s="1384"/>
      <c r="W194" s="1384"/>
      <c r="X194" s="1384"/>
      <c r="Y194" s="1384"/>
      <c r="Z194" s="1384"/>
      <c r="AA194" s="1859"/>
      <c r="AB194" s="788"/>
      <c r="AC194" s="788"/>
      <c r="AD194" s="788"/>
      <c r="AE194" s="788"/>
    </row>
    <row s="16671" customFormat="1" customHeight="1" ht="11.25">
      <c r="A195" s="1210"/>
      <c r="B195" s="1863"/>
      <c r="C195" s="1863"/>
      <c r="D195" s="573"/>
      <c r="K195" s="1384"/>
      <c r="L195" s="1863"/>
      <c r="M195" s="1863"/>
      <c r="N195" s="1384"/>
      <c r="O195" s="1384"/>
      <c r="P195" s="1384"/>
      <c r="Q195" s="1384"/>
      <c r="R195" s="1863"/>
      <c r="S195" s="1384"/>
      <c r="T195" s="1384"/>
      <c r="U195" s="766"/>
      <c r="V195" s="1384"/>
      <c r="W195" s="1384"/>
      <c r="X195" s="1384"/>
      <c r="Y195" s="1384"/>
      <c r="Z195" s="1384"/>
      <c r="AA195" s="1859"/>
      <c r="AB195" s="788"/>
      <c r="AC195" s="788"/>
      <c r="AD195" s="788"/>
      <c r="AE195" s="788"/>
    </row>
    <row s="16671" customFormat="1" customHeight="1" ht="11.25">
      <c r="A196" s="1210"/>
      <c r="B196" s="1863"/>
      <c r="C196" s="1863"/>
      <c r="D196" s="573"/>
      <c r="K196" s="1384"/>
      <c r="L196" s="1863"/>
      <c r="M196" s="1863"/>
      <c r="N196" s="1384"/>
      <c r="O196" s="1384"/>
      <c r="P196" s="1384"/>
      <c r="Q196" s="1384"/>
      <c r="R196" s="1863"/>
      <c r="S196" s="1384"/>
      <c r="T196" s="1384"/>
      <c r="U196" s="766"/>
      <c r="V196" s="1384"/>
      <c r="W196" s="1384"/>
      <c r="X196" s="1384"/>
      <c r="Y196" s="1384"/>
      <c r="Z196" s="1384"/>
      <c r="AA196" s="1859"/>
      <c r="AB196" s="788"/>
      <c r="AC196" s="788"/>
      <c r="AD196" s="788"/>
      <c r="AE196" s="788"/>
    </row>
    <row s="16671" customFormat="1" customHeight="1" ht="11.25">
      <c r="A197" s="1210"/>
      <c r="B197" s="1863"/>
      <c r="C197" s="1863"/>
      <c r="D197" s="573"/>
      <c r="K197" s="1384"/>
      <c r="L197" s="1863"/>
      <c r="M197" s="1863"/>
      <c r="N197" s="1384"/>
      <c r="O197" s="1384"/>
      <c r="P197" s="1384"/>
      <c r="Q197" s="1384"/>
      <c r="R197" s="1863"/>
      <c r="S197" s="1384"/>
      <c r="T197" s="1384"/>
      <c r="U197" s="766"/>
      <c r="V197" s="1384"/>
      <c r="W197" s="1384"/>
      <c r="X197" s="1384"/>
      <c r="Y197" s="1384"/>
      <c r="Z197" s="1384"/>
      <c r="AA197" s="1859"/>
      <c r="AB197" s="788"/>
      <c r="AC197" s="788"/>
      <c r="AD197" s="788"/>
      <c r="AE197" s="788"/>
    </row>
    <row s="16671" customFormat="1" customHeight="1" ht="11.25">
      <c r="A198" s="1210"/>
      <c r="B198" s="1863"/>
      <c r="C198" s="1863"/>
      <c r="D198" s="573"/>
      <c r="K198" s="1384"/>
      <c r="L198" s="1863"/>
      <c r="M198" s="1863"/>
      <c r="N198" s="1384"/>
      <c r="O198" s="1384"/>
      <c r="P198" s="1384"/>
      <c r="Q198" s="1384"/>
      <c r="R198" s="1863"/>
      <c r="S198" s="1384"/>
      <c r="T198" s="1384"/>
      <c r="U198" s="766"/>
      <c r="V198" s="1384"/>
      <c r="W198" s="1384"/>
      <c r="X198" s="1384"/>
      <c r="Y198" s="1384"/>
      <c r="Z198" s="1384"/>
      <c r="AA198" s="1859"/>
      <c r="AB198" s="788"/>
      <c r="AC198" s="788"/>
      <c r="AD198" s="788"/>
      <c r="AE198" s="788"/>
    </row>
    <row s="16671" customFormat="1" customHeight="1" ht="11.25">
      <c r="A199" s="1210"/>
      <c r="B199" s="1863"/>
      <c r="C199" s="1863"/>
      <c r="D199" s="573"/>
      <c r="K199" s="1384"/>
      <c r="L199" s="1863"/>
      <c r="M199" s="1863"/>
      <c r="N199" s="1384"/>
      <c r="O199" s="1384"/>
      <c r="P199" s="1384"/>
      <c r="Q199" s="1384"/>
      <c r="R199" s="1863"/>
      <c r="S199" s="1384"/>
      <c r="T199" s="1384"/>
      <c r="U199" s="766"/>
      <c r="V199" s="1384"/>
      <c r="W199" s="1384"/>
      <c r="X199" s="1384"/>
      <c r="Y199" s="1384"/>
      <c r="Z199" s="1384"/>
      <c r="AA199" s="1859"/>
      <c r="AB199" s="788"/>
      <c r="AC199" s="788"/>
      <c r="AD199" s="788"/>
      <c r="AE199" s="788"/>
    </row>
    <row s="16671" customFormat="1" customHeight="1" ht="11.25">
      <c r="A200" s="1210"/>
      <c r="B200" s="1863"/>
      <c r="C200" s="1863"/>
      <c r="D200" s="573"/>
      <c r="K200" s="1384"/>
      <c r="L200" s="1863"/>
      <c r="M200" s="1863"/>
      <c r="N200" s="1384"/>
      <c r="O200" s="1384"/>
      <c r="P200" s="1384"/>
      <c r="Q200" s="1384"/>
      <c r="R200" s="1863"/>
      <c r="S200" s="1384"/>
      <c r="T200" s="1384"/>
      <c r="U200" s="766"/>
      <c r="V200" s="1384"/>
      <c r="W200" s="1384"/>
      <c r="X200" s="1384"/>
      <c r="Y200" s="1384"/>
      <c r="Z200" s="1384"/>
      <c r="AA200" s="1859"/>
      <c r="AB200" s="788"/>
      <c r="AC200" s="788"/>
      <c r="AD200" s="788"/>
      <c r="AE200" s="788"/>
    </row>
    <row s="16671" customFormat="1" customHeight="1" ht="11.25">
      <c r="A201" s="1210"/>
      <c r="B201" s="1863"/>
      <c r="C201" s="1863"/>
      <c r="D201" s="573"/>
      <c r="K201" s="1384"/>
      <c r="L201" s="1863"/>
      <c r="M201" s="1863"/>
      <c r="N201" s="1384"/>
      <c r="O201" s="1384"/>
      <c r="P201" s="1384"/>
      <c r="Q201" s="1384"/>
      <c r="R201" s="1863"/>
      <c r="S201" s="1384"/>
      <c r="T201" s="1384"/>
      <c r="U201" s="766"/>
      <c r="V201" s="1384"/>
      <c r="W201" s="1384"/>
      <c r="X201" s="1384"/>
      <c r="Y201" s="1384"/>
      <c r="Z201" s="1384"/>
      <c r="AA201" s="1859"/>
      <c r="AB201" s="788"/>
      <c r="AC201" s="788"/>
      <c r="AD201" s="788"/>
      <c r="AE201" s="788"/>
    </row>
    <row s="16671" customFormat="1" customHeight="1" ht="11.25">
      <c r="A202" s="1210"/>
      <c r="B202" s="1863"/>
      <c r="C202" s="1863"/>
      <c r="D202" s="573"/>
      <c r="K202" s="1384"/>
      <c r="L202" s="1863"/>
      <c r="M202" s="1863"/>
      <c r="N202" s="1384"/>
      <c r="O202" s="1384"/>
      <c r="P202" s="1384"/>
      <c r="Q202" s="1384"/>
      <c r="R202" s="1863"/>
      <c r="S202" s="1384"/>
      <c r="T202" s="1384"/>
      <c r="U202" s="766"/>
      <c r="V202" s="1384"/>
      <c r="W202" s="1384"/>
      <c r="X202" s="1384"/>
      <c r="Y202" s="1384"/>
      <c r="Z202" s="1384"/>
      <c r="AA202" s="1859"/>
      <c r="AB202" s="788"/>
      <c r="AC202" s="788"/>
      <c r="AD202" s="788"/>
      <c r="AE202" s="788"/>
    </row>
    <row s="16671" customFormat="1" customHeight="1" ht="11.25">
      <c r="A203" s="1210"/>
      <c r="B203" s="1863"/>
      <c r="C203" s="1863"/>
      <c r="D203" s="573"/>
      <c r="K203" s="1384"/>
      <c r="L203" s="1863"/>
      <c r="M203" s="1863"/>
      <c r="N203" s="1384"/>
      <c r="O203" s="1384"/>
      <c r="P203" s="1384"/>
      <c r="Q203" s="1384"/>
      <c r="R203" s="1863"/>
      <c r="S203" s="1384"/>
      <c r="T203" s="1384"/>
      <c r="U203" s="766"/>
      <c r="V203" s="1384"/>
      <c r="W203" s="1384"/>
      <c r="X203" s="1384"/>
      <c r="Y203" s="1384"/>
      <c r="Z203" s="1384"/>
      <c r="AA203" s="1859"/>
      <c r="AB203" s="788"/>
      <c r="AC203" s="788"/>
      <c r="AD203" s="788"/>
      <c r="AE203" s="788"/>
    </row>
    <row s="16671" customFormat="1" customHeight="1" ht="11.25">
      <c r="A204" s="1210"/>
      <c r="B204" s="1863"/>
      <c r="C204" s="1863"/>
      <c r="D204" s="573"/>
      <c r="K204" s="1384"/>
      <c r="L204" s="1863"/>
      <c r="M204" s="1863"/>
      <c r="N204" s="1384"/>
      <c r="O204" s="1384"/>
      <c r="P204" s="1384"/>
      <c r="Q204" s="1384"/>
      <c r="R204" s="1863"/>
      <c r="S204" s="1384"/>
      <c r="T204" s="1384"/>
      <c r="U204" s="766"/>
      <c r="V204" s="1384"/>
      <c r="W204" s="1384"/>
      <c r="X204" s="1384"/>
      <c r="Y204" s="1384"/>
      <c r="Z204" s="1384"/>
      <c r="AA204" s="1859"/>
      <c r="AB204" s="788"/>
      <c r="AC204" s="788"/>
      <c r="AD204" s="788"/>
      <c r="AE204" s="788"/>
    </row>
    <row s="16671" customFormat="1" customHeight="1" ht="11.25">
      <c r="A205" s="1210"/>
      <c r="B205" s="1863"/>
      <c r="C205" s="1863"/>
      <c r="D205" s="573"/>
      <c r="K205" s="1384"/>
      <c r="L205" s="1863"/>
      <c r="M205" s="1863"/>
      <c r="N205" s="1384"/>
      <c r="O205" s="1384"/>
      <c r="P205" s="1384"/>
      <c r="Q205" s="1384"/>
      <c r="R205" s="1863"/>
      <c r="S205" s="1384"/>
      <c r="T205" s="1384"/>
      <c r="U205" s="766"/>
      <c r="V205" s="1384"/>
      <c r="W205" s="1384"/>
      <c r="X205" s="1384"/>
      <c r="Y205" s="1384"/>
      <c r="Z205" s="1384"/>
      <c r="AA205" s="1859"/>
      <c r="AB205" s="788"/>
      <c r="AC205" s="788"/>
      <c r="AD205" s="788"/>
      <c r="AE205" s="788"/>
    </row>
    <row s="16671" customFormat="1" customHeight="1" ht="11.25">
      <c r="A206" s="1210"/>
      <c r="B206" s="1863"/>
      <c r="C206" s="1863"/>
      <c r="D206" s="573"/>
      <c r="K206" s="1384"/>
      <c r="L206" s="1863"/>
      <c r="M206" s="1863"/>
      <c r="N206" s="1384"/>
      <c r="O206" s="1384"/>
      <c r="P206" s="1384"/>
      <c r="Q206" s="1384"/>
      <c r="R206" s="1863"/>
      <c r="S206" s="1384"/>
      <c r="T206" s="1384"/>
      <c r="U206" s="766"/>
      <c r="V206" s="1384"/>
      <c r="W206" s="1384"/>
      <c r="X206" s="1384"/>
      <c r="Y206" s="1384"/>
      <c r="Z206" s="1384"/>
      <c r="AA206" s="1859"/>
      <c r="AB206" s="788"/>
      <c r="AC206" s="788"/>
      <c r="AD206" s="788"/>
      <c r="AE206" s="788"/>
    </row>
    <row s="16671" customFormat="1" customHeight="1" ht="11.25">
      <c r="A207" s="1210"/>
      <c r="B207" s="1863"/>
      <c r="C207" s="1863"/>
      <c r="D207" s="573"/>
      <c r="K207" s="1384"/>
      <c r="L207" s="1863"/>
      <c r="M207" s="1863"/>
      <c r="N207" s="1384"/>
      <c r="O207" s="1384"/>
      <c r="P207" s="1384"/>
      <c r="Q207" s="1384"/>
      <c r="R207" s="1863"/>
      <c r="S207" s="1384"/>
      <c r="T207" s="1384"/>
      <c r="U207" s="766"/>
      <c r="V207" s="1384"/>
      <c r="W207" s="1384"/>
      <c r="X207" s="1384"/>
      <c r="Y207" s="1384"/>
      <c r="Z207" s="1384"/>
      <c r="AA207" s="1859"/>
      <c r="AB207" s="788"/>
      <c r="AC207" s="788"/>
      <c r="AD207" s="788"/>
      <c r="AE207" s="788"/>
    </row>
    <row s="16671" customFormat="1" customHeight="1" ht="11.25">
      <c r="A208" s="1210"/>
      <c r="B208" s="1863"/>
      <c r="C208" s="1863"/>
      <c r="D208" s="573"/>
      <c r="K208" s="1384"/>
      <c r="L208" s="1863"/>
      <c r="M208" s="1863"/>
      <c r="N208" s="1384"/>
      <c r="O208" s="1384"/>
      <c r="P208" s="1384"/>
      <c r="Q208" s="1384"/>
      <c r="R208" s="1863"/>
      <c r="S208" s="1384"/>
      <c r="T208" s="1384"/>
      <c r="U208" s="766"/>
      <c r="V208" s="1384"/>
      <c r="W208" s="1384"/>
      <c r="X208" s="1384"/>
      <c r="Y208" s="1384"/>
      <c r="Z208" s="1384"/>
      <c r="AA208" s="1859"/>
      <c r="AB208" s="788"/>
      <c r="AC208" s="788"/>
      <c r="AD208" s="788"/>
      <c r="AE208" s="788"/>
    </row>
    <row s="16671" customFormat="1" customHeight="1" ht="11.25">
      <c r="A209" s="1210"/>
      <c r="B209" s="1863"/>
      <c r="C209" s="1863"/>
      <c r="D209" s="573"/>
      <c r="K209" s="1384"/>
      <c r="L209" s="1863"/>
      <c r="M209" s="1863"/>
      <c r="N209" s="1384"/>
      <c r="O209" s="1384"/>
      <c r="P209" s="1384"/>
      <c r="Q209" s="1384"/>
      <c r="R209" s="1863"/>
      <c r="S209" s="1384"/>
      <c r="T209" s="1384"/>
      <c r="U209" s="766"/>
      <c r="V209" s="1384"/>
      <c r="W209" s="1384"/>
      <c r="X209" s="1384"/>
      <c r="Y209" s="1384"/>
      <c r="Z209" s="1384"/>
      <c r="AA209" s="1859"/>
      <c r="AB209" s="788"/>
      <c r="AC209" s="788"/>
      <c r="AD209" s="788"/>
      <c r="AE209" s="788"/>
    </row>
    <row s="16671" customFormat="1" customHeight="1" ht="11.25">
      <c r="A210" s="1210"/>
      <c r="B210" s="1863"/>
      <c r="C210" s="1863"/>
      <c r="D210" s="573"/>
      <c r="K210" s="1384"/>
      <c r="L210" s="1863"/>
      <c r="M210" s="1863"/>
      <c r="N210" s="1384"/>
      <c r="O210" s="1384"/>
      <c r="P210" s="1384"/>
      <c r="Q210" s="1384"/>
      <c r="R210" s="1863"/>
      <c r="S210" s="1384"/>
      <c r="T210" s="1384"/>
      <c r="U210" s="766"/>
      <c r="V210" s="1384"/>
      <c r="W210" s="1384"/>
      <c r="X210" s="1384"/>
      <c r="Y210" s="1384"/>
      <c r="Z210" s="1384"/>
      <c r="AA210" s="1859"/>
      <c r="AB210" s="788"/>
      <c r="AC210" s="788"/>
      <c r="AD210" s="788"/>
      <c r="AE210" s="788"/>
    </row>
    <row s="16671" customFormat="1" customHeight="1" ht="11.25">
      <c r="A211" s="1210"/>
      <c r="B211" s="1863"/>
      <c r="C211" s="1863"/>
      <c r="D211" s="573"/>
      <c r="K211" s="1384"/>
      <c r="L211" s="1863"/>
      <c r="M211" s="1863"/>
      <c r="N211" s="1384"/>
      <c r="O211" s="1384"/>
      <c r="P211" s="1384"/>
      <c r="Q211" s="1384"/>
      <c r="R211" s="1863"/>
      <c r="S211" s="1384"/>
      <c r="T211" s="1384"/>
      <c r="U211" s="766"/>
      <c r="V211" s="1384"/>
      <c r="W211" s="1384"/>
      <c r="X211" s="1384"/>
      <c r="Y211" s="1384"/>
      <c r="Z211" s="1384"/>
      <c r="AA211" s="1859"/>
      <c r="AB211" s="788"/>
      <c r="AC211" s="788"/>
      <c r="AD211" s="788"/>
      <c r="AE211" s="788"/>
    </row>
    <row s="16671" customFormat="1" customHeight="1" ht="11.25">
      <c r="A212" s="1210"/>
      <c r="B212" s="1863"/>
      <c r="C212" s="1863"/>
      <c r="D212" s="573"/>
      <c r="K212" s="1384"/>
      <c r="L212" s="1863"/>
      <c r="M212" s="1863"/>
      <c r="N212" s="1384"/>
      <c r="O212" s="1384"/>
      <c r="P212" s="1384"/>
      <c r="Q212" s="1384"/>
      <c r="R212" s="1863"/>
      <c r="S212" s="1384"/>
      <c r="T212" s="1384"/>
      <c r="U212" s="766"/>
      <c r="V212" s="1384"/>
      <c r="W212" s="1384"/>
      <c r="X212" s="1384"/>
      <c r="Y212" s="1384"/>
      <c r="Z212" s="1384"/>
      <c r="AA212" s="1859"/>
      <c r="AB212" s="788"/>
      <c r="AC212" s="788"/>
      <c r="AD212" s="788"/>
      <c r="AE212" s="788"/>
    </row>
    <row s="16671" customFormat="1" customHeight="1" ht="11.25">
      <c r="A213" s="1210"/>
      <c r="B213" s="1863"/>
      <c r="C213" s="1863"/>
      <c r="D213" s="573"/>
      <c r="K213" s="1384"/>
      <c r="L213" s="1863"/>
      <c r="M213" s="1863"/>
      <c r="N213" s="1384"/>
      <c r="O213" s="1384"/>
      <c r="P213" s="1384"/>
      <c r="Q213" s="1384"/>
      <c r="R213" s="1863"/>
      <c r="S213" s="1384"/>
      <c r="T213" s="1384"/>
      <c r="U213" s="766"/>
      <c r="V213" s="1384"/>
      <c r="W213" s="1384"/>
      <c r="X213" s="1384"/>
      <c r="Y213" s="1384"/>
      <c r="Z213" s="1384"/>
      <c r="AA213" s="1859"/>
      <c r="AB213" s="788"/>
      <c r="AC213" s="788"/>
      <c r="AD213" s="788"/>
      <c r="AE213" s="788"/>
    </row>
    <row s="16671" customFormat="1" customHeight="1" ht="11.25">
      <c r="A214" s="1210"/>
      <c r="B214" s="1863"/>
      <c r="C214" s="1863"/>
      <c r="D214" s="573"/>
      <c r="K214" s="1384"/>
      <c r="L214" s="1863"/>
      <c r="M214" s="1863"/>
      <c r="N214" s="1384"/>
      <c r="O214" s="1384"/>
      <c r="P214" s="1384"/>
      <c r="Q214" s="1384"/>
      <c r="R214" s="1863"/>
      <c r="S214" s="1384"/>
      <c r="T214" s="1384"/>
      <c r="U214" s="766"/>
      <c r="V214" s="1384"/>
      <c r="W214" s="1384"/>
      <c r="X214" s="1384"/>
      <c r="Y214" s="1384"/>
      <c r="Z214" s="1384"/>
      <c r="AA214" s="1859"/>
      <c r="AB214" s="788"/>
      <c r="AC214" s="788"/>
      <c r="AD214" s="788"/>
      <c r="AE214" s="788"/>
    </row>
    <row s="16671" customFormat="1" customHeight="1" ht="11.25">
      <c r="A215" s="1210"/>
      <c r="B215" s="1863"/>
      <c r="C215" s="1863"/>
      <c r="D215" s="573"/>
      <c r="K215" s="1384"/>
      <c r="L215" s="1863"/>
      <c r="M215" s="1863"/>
      <c r="N215" s="1384"/>
      <c r="O215" s="1384"/>
      <c r="P215" s="1384"/>
      <c r="Q215" s="1384"/>
      <c r="R215" s="1863"/>
      <c r="S215" s="1384"/>
      <c r="T215" s="1384"/>
      <c r="U215" s="766"/>
      <c r="V215" s="1384"/>
      <c r="W215" s="1384"/>
      <c r="X215" s="1384"/>
      <c r="Y215" s="1384"/>
      <c r="Z215" s="1384"/>
      <c r="AA215" s="1859"/>
      <c r="AB215" s="788"/>
      <c r="AC215" s="788"/>
      <c r="AD215" s="788"/>
      <c r="AE215" s="788"/>
    </row>
    <row s="16671" customFormat="1" customHeight="1" ht="11.25">
      <c r="A216" s="1210"/>
      <c r="B216" s="1863"/>
      <c r="C216" s="1863"/>
      <c r="D216" s="573"/>
      <c r="K216" s="1384"/>
      <c r="L216" s="1863"/>
      <c r="M216" s="1863"/>
      <c r="N216" s="1384"/>
      <c r="O216" s="1384"/>
      <c r="P216" s="1384"/>
      <c r="Q216" s="1384"/>
      <c r="R216" s="1863"/>
      <c r="S216" s="1384"/>
      <c r="T216" s="1384"/>
      <c r="U216" s="766"/>
      <c r="V216" s="1384"/>
      <c r="W216" s="1384"/>
      <c r="X216" s="1384"/>
      <c r="Y216" s="1384"/>
      <c r="Z216" s="1384"/>
      <c r="AA216" s="1859"/>
      <c r="AB216" s="788"/>
      <c r="AC216" s="788"/>
      <c r="AD216" s="788"/>
      <c r="AE216" s="788"/>
    </row>
    <row s="16671" customFormat="1" customHeight="1" ht="11.25">
      <c r="A217" s="1210"/>
      <c r="B217" s="1863"/>
      <c r="C217" s="1863"/>
      <c r="D217" s="573"/>
      <c r="K217" s="1384"/>
      <c r="L217" s="1863"/>
      <c r="M217" s="1863"/>
      <c r="N217" s="1384"/>
      <c r="O217" s="1384"/>
      <c r="P217" s="1384"/>
      <c r="Q217" s="1384"/>
      <c r="R217" s="1863"/>
      <c r="S217" s="1384"/>
      <c r="T217" s="1384"/>
      <c r="U217" s="766"/>
      <c r="V217" s="1384"/>
      <c r="W217" s="1384"/>
      <c r="X217" s="1384"/>
      <c r="Y217" s="1384"/>
      <c r="Z217" s="1384"/>
      <c r="AA217" s="1859"/>
      <c r="AB217" s="788"/>
      <c r="AC217" s="788"/>
      <c r="AD217" s="788"/>
      <c r="AE217" s="788"/>
    </row>
    <row s="16671" customFormat="1" customHeight="1" ht="11.25">
      <c r="A218" s="1210"/>
      <c r="B218" s="1863"/>
      <c r="C218" s="1863"/>
      <c r="D218" s="573"/>
      <c r="K218" s="1384"/>
      <c r="L218" s="1863"/>
      <c r="M218" s="1863"/>
      <c r="N218" s="1384"/>
      <c r="O218" s="1384"/>
      <c r="P218" s="1384"/>
      <c r="Q218" s="1384"/>
      <c r="R218" s="1863"/>
      <c r="S218" s="1384"/>
      <c r="T218" s="1384"/>
      <c r="U218" s="766"/>
      <c r="V218" s="1384"/>
      <c r="W218" s="1384"/>
      <c r="X218" s="1384"/>
      <c r="Y218" s="1384"/>
      <c r="Z218" s="1384"/>
      <c r="AA218" s="1859"/>
      <c r="AB218" s="788"/>
      <c r="AC218" s="788"/>
      <c r="AD218" s="788"/>
      <c r="AE218" s="788"/>
    </row>
    <row s="16671" customFormat="1" customHeight="1" ht="11.25">
      <c r="A219" s="1210"/>
      <c r="B219" s="1863"/>
      <c r="C219" s="1863"/>
      <c r="D219" s="573"/>
      <c r="K219" s="1384"/>
      <c r="L219" s="1863"/>
      <c r="M219" s="1863"/>
      <c r="N219" s="1384"/>
      <c r="O219" s="1384"/>
      <c r="P219" s="1384"/>
      <c r="Q219" s="1384"/>
      <c r="R219" s="1863"/>
      <c r="S219" s="1384"/>
      <c r="T219" s="1384"/>
      <c r="U219" s="766"/>
      <c r="V219" s="1384"/>
      <c r="W219" s="1384"/>
      <c r="X219" s="1384"/>
      <c r="Y219" s="1384"/>
      <c r="Z219" s="1384"/>
      <c r="AA219" s="1859"/>
      <c r="AB219" s="788"/>
      <c r="AC219" s="788"/>
      <c r="AD219" s="788"/>
      <c r="AE219" s="788"/>
    </row>
    <row s="16671" customFormat="1" customHeight="1" ht="11.25">
      <c r="A220" s="1210"/>
      <c r="B220" s="1863"/>
      <c r="C220" s="1863"/>
      <c r="D220" s="573"/>
      <c r="K220" s="1384"/>
      <c r="L220" s="1863"/>
      <c r="M220" s="1863"/>
      <c r="N220" s="1384"/>
      <c r="O220" s="1384"/>
      <c r="P220" s="1384"/>
      <c r="Q220" s="1384"/>
      <c r="R220" s="1863"/>
      <c r="S220" s="1384"/>
      <c r="T220" s="1384"/>
      <c r="U220" s="766"/>
      <c r="V220" s="1384"/>
      <c r="W220" s="1384"/>
      <c r="X220" s="1384"/>
      <c r="Y220" s="1384"/>
      <c r="Z220" s="1384"/>
      <c r="AA220" s="1859"/>
      <c r="AB220" s="788"/>
      <c r="AC220" s="788"/>
      <c r="AD220" s="788"/>
      <c r="AE220" s="788"/>
    </row>
    <row s="16671" customFormat="1" customHeight="1" ht="11.25">
      <c r="A221" s="1210"/>
      <c r="B221" s="1863"/>
      <c r="C221" s="1863"/>
      <c r="D221" s="573"/>
      <c r="K221" s="1384"/>
      <c r="L221" s="1863"/>
      <c r="M221" s="1863"/>
      <c r="N221" s="1384"/>
      <c r="O221" s="1384"/>
      <c r="P221" s="1384"/>
      <c r="Q221" s="1384"/>
      <c r="R221" s="1863"/>
      <c r="S221" s="1384"/>
      <c r="T221" s="1384"/>
      <c r="U221" s="766"/>
      <c r="V221" s="1384"/>
      <c r="W221" s="1384"/>
      <c r="X221" s="1384"/>
      <c r="Y221" s="1384"/>
      <c r="Z221" s="1384"/>
      <c r="AA221" s="1859"/>
      <c r="AB221" s="788"/>
      <c r="AC221" s="788"/>
      <c r="AD221" s="788"/>
      <c r="AE221" s="788"/>
    </row>
    <row s="16671" customFormat="1" customHeight="1" ht="11.25">
      <c r="A222" s="1210"/>
      <c r="B222" s="1863"/>
      <c r="C222" s="1863"/>
      <c r="D222" s="573"/>
      <c r="K222" s="1384"/>
      <c r="L222" s="1863"/>
      <c r="M222" s="1863"/>
      <c r="N222" s="1384"/>
      <c r="O222" s="1384"/>
      <c r="P222" s="1384"/>
      <c r="Q222" s="1384"/>
      <c r="R222" s="1863"/>
      <c r="S222" s="1384"/>
      <c r="T222" s="1384"/>
      <c r="U222" s="766"/>
      <c r="V222" s="1384"/>
      <c r="W222" s="1384"/>
      <c r="X222" s="1384"/>
      <c r="Y222" s="1384"/>
      <c r="Z222" s="1384"/>
      <c r="AA222" s="1859"/>
      <c r="AB222" s="788"/>
      <c r="AC222" s="788"/>
      <c r="AD222" s="788"/>
      <c r="AE222" s="788"/>
    </row>
    <row s="16671" customFormat="1" customHeight="1" ht="11.25">
      <c r="A223" s="1210"/>
      <c r="B223" s="1863"/>
      <c r="C223" s="1863"/>
      <c r="D223" s="573"/>
      <c r="K223" s="1384"/>
      <c r="L223" s="1863"/>
      <c r="M223" s="1863"/>
      <c r="N223" s="1384"/>
      <c r="O223" s="1384"/>
      <c r="P223" s="1384"/>
      <c r="Q223" s="1384"/>
      <c r="R223" s="1863"/>
      <c r="S223" s="1384"/>
      <c r="T223" s="1384"/>
      <c r="U223" s="766"/>
      <c r="V223" s="1384"/>
      <c r="W223" s="1384"/>
      <c r="X223" s="1384"/>
      <c r="Y223" s="1384"/>
      <c r="Z223" s="1384"/>
      <c r="AA223" s="1859"/>
      <c r="AB223" s="788"/>
      <c r="AC223" s="788"/>
      <c r="AD223" s="788"/>
      <c r="AE223" s="788"/>
    </row>
    <row s="16671" customFormat="1" customHeight="1" ht="11.25">
      <c r="A224" s="1210"/>
      <c r="B224" s="1863"/>
      <c r="C224" s="1863"/>
      <c r="D224" s="573"/>
      <c r="K224" s="1384"/>
      <c r="L224" s="1863"/>
      <c r="M224" s="1863"/>
      <c r="N224" s="1384"/>
      <c r="O224" s="1384"/>
      <c r="P224" s="1384"/>
      <c r="Q224" s="1384"/>
      <c r="R224" s="1863"/>
      <c r="S224" s="1384"/>
      <c r="T224" s="1384"/>
      <c r="U224" s="766"/>
      <c r="V224" s="1384"/>
      <c r="W224" s="1384"/>
      <c r="X224" s="1384"/>
      <c r="Y224" s="1384"/>
      <c r="Z224" s="1384"/>
      <c r="AA224" s="1859"/>
      <c r="AB224" s="788"/>
      <c r="AC224" s="788"/>
      <c r="AD224" s="788"/>
      <c r="AE224" s="788"/>
    </row>
    <row s="16671" customFormat="1" customHeight="1" ht="11.25">
      <c r="A225" s="1210"/>
      <c r="B225" s="1863"/>
      <c r="C225" s="1863"/>
      <c r="D225" s="573"/>
      <c r="K225" s="1384"/>
      <c r="L225" s="1863"/>
      <c r="M225" s="1863"/>
      <c r="N225" s="1384"/>
      <c r="O225" s="1384"/>
      <c r="P225" s="1384"/>
      <c r="Q225" s="1384"/>
      <c r="R225" s="1863"/>
      <c r="S225" s="1384"/>
      <c r="T225" s="1384"/>
      <c r="U225" s="766"/>
      <c r="V225" s="1384"/>
      <c r="W225" s="1384"/>
      <c r="X225" s="1384"/>
      <c r="Y225" s="1384"/>
      <c r="Z225" s="1384"/>
      <c r="AA225" s="1859"/>
      <c r="AB225" s="788"/>
      <c r="AC225" s="788"/>
      <c r="AD225" s="788"/>
      <c r="AE225" s="788"/>
    </row>
    <row s="16671" customFormat="1" customHeight="1" ht="11.25">
      <c r="A226" s="1210"/>
      <c r="B226" s="1863"/>
      <c r="C226" s="1863"/>
      <c r="D226" s="573"/>
      <c r="K226" s="1384"/>
      <c r="L226" s="1863"/>
      <c r="M226" s="1863"/>
      <c r="N226" s="1384"/>
      <c r="O226" s="1384"/>
      <c r="P226" s="1384"/>
      <c r="Q226" s="1384"/>
      <c r="R226" s="1863"/>
      <c r="S226" s="1384"/>
      <c r="T226" s="1384"/>
      <c r="U226" s="766"/>
      <c r="V226" s="1384"/>
      <c r="W226" s="1384"/>
      <c r="X226" s="1384"/>
      <c r="Y226" s="1384"/>
      <c r="Z226" s="1384"/>
      <c r="AA226" s="1859"/>
      <c r="AB226" s="788"/>
      <c r="AC226" s="788"/>
      <c r="AD226" s="788"/>
      <c r="AE226" s="788"/>
    </row>
    <row s="16671" customFormat="1" customHeight="1" ht="11.25">
      <c r="A227" s="1210"/>
      <c r="B227" s="1863"/>
      <c r="C227" s="1863"/>
      <c r="D227" s="573"/>
      <c r="K227" s="1384"/>
      <c r="L227" s="1863"/>
      <c r="M227" s="1863"/>
      <c r="N227" s="1384"/>
      <c r="O227" s="1384"/>
      <c r="P227" s="1384"/>
      <c r="Q227" s="1384"/>
      <c r="R227" s="1863"/>
      <c r="S227" s="1384"/>
      <c r="T227" s="1384"/>
      <c r="U227" s="766"/>
      <c r="V227" s="1384"/>
      <c r="W227" s="1384"/>
      <c r="X227" s="1384"/>
      <c r="Y227" s="1384"/>
      <c r="Z227" s="1384"/>
      <c r="AA227" s="1859"/>
      <c r="AB227" s="788"/>
      <c r="AC227" s="788"/>
      <c r="AD227" s="788"/>
      <c r="AE227" s="788"/>
    </row>
    <row s="16671" customFormat="1" customHeight="1" ht="11.25">
      <c r="A228" s="1210"/>
      <c r="B228" s="1863"/>
      <c r="C228" s="1863"/>
      <c r="D228" s="573"/>
      <c r="K228" s="1384"/>
      <c r="L228" s="1863"/>
      <c r="M228" s="1863"/>
      <c r="N228" s="1384"/>
      <c r="O228" s="1384"/>
      <c r="P228" s="1384"/>
      <c r="Q228" s="1384"/>
      <c r="R228" s="1863"/>
      <c r="S228" s="1384"/>
      <c r="T228" s="1384"/>
      <c r="U228" s="766"/>
      <c r="V228" s="1384"/>
      <c r="W228" s="1384"/>
      <c r="X228" s="1384"/>
      <c r="Y228" s="1384"/>
      <c r="Z228" s="1384"/>
      <c r="AA228" s="1859"/>
      <c r="AB228" s="788"/>
      <c r="AC228" s="788"/>
      <c r="AD228" s="788"/>
      <c r="AE228" s="788"/>
    </row>
    <row s="16671" customFormat="1" customHeight="1" ht="11.25">
      <c r="A229" s="1210"/>
      <c r="B229" s="1863"/>
      <c r="C229" s="1863"/>
      <c r="D229" s="573"/>
      <c r="K229" s="1384"/>
      <c r="L229" s="1863"/>
      <c r="M229" s="1863"/>
      <c r="N229" s="1384"/>
      <c r="O229" s="1384"/>
      <c r="P229" s="1384"/>
      <c r="Q229" s="1384"/>
      <c r="R229" s="1863"/>
      <c r="S229" s="1384"/>
      <c r="T229" s="1384"/>
      <c r="U229" s="766"/>
      <c r="V229" s="1384"/>
      <c r="W229" s="1384"/>
      <c r="X229" s="1384"/>
      <c r="Y229" s="1384"/>
      <c r="Z229" s="1384"/>
      <c r="AA229" s="1859"/>
      <c r="AB229" s="788"/>
      <c r="AC229" s="788"/>
      <c r="AD229" s="788"/>
      <c r="AE229" s="788"/>
    </row>
    <row s="16671" customFormat="1" customHeight="1" ht="11.25">
      <c r="A230" s="1210"/>
      <c r="B230" s="1863"/>
      <c r="C230" s="1863"/>
      <c r="D230" s="573"/>
      <c r="K230" s="1384"/>
      <c r="L230" s="1863"/>
      <c r="M230" s="1863"/>
      <c r="N230" s="1384"/>
      <c r="O230" s="1384"/>
      <c r="P230" s="1384"/>
      <c r="Q230" s="1384"/>
      <c r="R230" s="1863"/>
      <c r="S230" s="1384"/>
      <c r="T230" s="1384"/>
      <c r="U230" s="766"/>
      <c r="V230" s="1384"/>
      <c r="W230" s="1384"/>
      <c r="X230" s="1384"/>
      <c r="Y230" s="1384"/>
      <c r="Z230" s="1384"/>
      <c r="AA230" s="1859"/>
      <c r="AB230" s="788"/>
      <c r="AC230" s="788"/>
      <c r="AD230" s="788"/>
      <c r="AE230" s="788"/>
    </row>
    <row s="16671" customFormat="1" customHeight="1" ht="11.25">
      <c r="A231" s="1210"/>
      <c r="B231" s="1863"/>
      <c r="C231" s="1863"/>
      <c r="D231" s="573"/>
      <c r="K231" s="1384"/>
      <c r="L231" s="1863"/>
      <c r="M231" s="1863"/>
      <c r="N231" s="1384"/>
      <c r="O231" s="1384"/>
      <c r="P231" s="1384"/>
      <c r="Q231" s="1384"/>
      <c r="R231" s="1863"/>
      <c r="S231" s="1384"/>
      <c r="T231" s="1384"/>
      <c r="U231" s="766"/>
      <c r="V231" s="1384"/>
      <c r="W231" s="1384"/>
      <c r="X231" s="1384"/>
      <c r="Y231" s="1384"/>
      <c r="Z231" s="1384"/>
      <c r="AA231" s="1859"/>
      <c r="AB231" s="788"/>
      <c r="AC231" s="788"/>
      <c r="AD231" s="788"/>
      <c r="AE231" s="788"/>
    </row>
    <row s="16671" customFormat="1" customHeight="1" ht="11.25">
      <c r="A232" s="1210"/>
      <c r="B232" s="1863"/>
      <c r="C232" s="1863"/>
      <c r="D232" s="573"/>
      <c r="K232" s="1384"/>
      <c r="L232" s="1863"/>
      <c r="M232" s="1863"/>
      <c r="N232" s="1384"/>
      <c r="O232" s="1384"/>
      <c r="P232" s="1384"/>
      <c r="Q232" s="1384"/>
      <c r="R232" s="1863"/>
      <c r="S232" s="1384"/>
      <c r="T232" s="1384"/>
      <c r="U232" s="766"/>
      <c r="V232" s="1384"/>
      <c r="W232" s="1384"/>
      <c r="X232" s="1384"/>
      <c r="Y232" s="1384"/>
      <c r="Z232" s="1384"/>
      <c r="AA232" s="1859"/>
      <c r="AB232" s="788"/>
      <c r="AC232" s="788"/>
      <c r="AD232" s="788"/>
      <c r="AE232" s="788"/>
    </row>
    <row s="16671" customFormat="1" customHeight="1" ht="11.25">
      <c r="A233" s="1210"/>
      <c r="B233" s="1863"/>
      <c r="C233" s="1863"/>
      <c r="D233" s="573"/>
      <c r="K233" s="1384"/>
      <c r="L233" s="1863"/>
      <c r="M233" s="1863"/>
      <c r="N233" s="1384"/>
      <c r="O233" s="1384"/>
      <c r="P233" s="1384"/>
      <c r="Q233" s="1384"/>
      <c r="R233" s="1863"/>
      <c r="S233" s="1384"/>
      <c r="T233" s="1384"/>
      <c r="U233" s="766"/>
      <c r="V233" s="1384"/>
      <c r="W233" s="1384"/>
      <c r="X233" s="1384"/>
      <c r="Y233" s="1384"/>
      <c r="Z233" s="1384"/>
      <c r="AA233" s="1859"/>
      <c r="AB233" s="788"/>
      <c r="AC233" s="788"/>
      <c r="AD233" s="788"/>
      <c r="AE233" s="788"/>
    </row>
    <row s="16671" customFormat="1" customHeight="1" ht="11.25">
      <c r="A234" s="1210"/>
      <c r="B234" s="1863"/>
      <c r="C234" s="1863"/>
      <c r="D234" s="573"/>
      <c r="K234" s="1384"/>
      <c r="L234" s="1863"/>
      <c r="M234" s="1863"/>
      <c r="N234" s="1384"/>
      <c r="O234" s="1384"/>
      <c r="P234" s="1384"/>
      <c r="Q234" s="1384"/>
      <c r="R234" s="1863"/>
      <c r="S234" s="1384"/>
      <c r="T234" s="1384"/>
      <c r="U234" s="766"/>
      <c r="V234" s="1384"/>
      <c r="W234" s="1384"/>
      <c r="X234" s="1384"/>
      <c r="Y234" s="1384"/>
      <c r="Z234" s="1384"/>
      <c r="AA234" s="1859"/>
      <c r="AB234" s="788"/>
      <c r="AC234" s="788"/>
      <c r="AD234" s="788"/>
      <c r="AE234" s="788"/>
    </row>
    <row s="16671" customFormat="1" customHeight="1" ht="11.25">
      <c r="A235" s="1210"/>
      <c r="B235" s="1863"/>
      <c r="C235" s="1863"/>
      <c r="D235" s="573"/>
      <c r="K235" s="1384"/>
      <c r="L235" s="1863"/>
      <c r="M235" s="1863"/>
      <c r="N235" s="1384"/>
      <c r="O235" s="1384"/>
      <c r="P235" s="1384"/>
      <c r="Q235" s="1384"/>
      <c r="R235" s="1863"/>
      <c r="S235" s="1384"/>
      <c r="T235" s="1384"/>
      <c r="U235" s="766"/>
      <c r="V235" s="1384"/>
      <c r="W235" s="1384"/>
      <c r="X235" s="1384"/>
      <c r="Y235" s="1384"/>
      <c r="Z235" s="1384"/>
      <c r="AA235" s="1859"/>
      <c r="AB235" s="788"/>
      <c r="AC235" s="788"/>
      <c r="AD235" s="788"/>
      <c r="AE235" s="788"/>
    </row>
    <row s="16671" customFormat="1" customHeight="1" ht="11.25">
      <c r="A236" s="1210"/>
      <c r="B236" s="1863"/>
      <c r="C236" s="1863"/>
      <c r="D236" s="573"/>
      <c r="K236" s="1384"/>
      <c r="L236" s="1863"/>
      <c r="M236" s="1863"/>
      <c r="N236" s="1384"/>
      <c r="O236" s="1384"/>
      <c r="P236" s="1384"/>
      <c r="Q236" s="1384"/>
      <c r="R236" s="1863"/>
      <c r="S236" s="1384"/>
      <c r="T236" s="1384"/>
      <c r="U236" s="766"/>
      <c r="V236" s="1384"/>
      <c r="W236" s="1384"/>
      <c r="X236" s="1384"/>
      <c r="Y236" s="1384"/>
      <c r="Z236" s="1384"/>
      <c r="AA236" s="1859"/>
      <c r="AB236" s="788"/>
      <c r="AC236" s="788"/>
      <c r="AD236" s="788"/>
      <c r="AE236" s="788"/>
    </row>
    <row s="16671" customFormat="1" customHeight="1" ht="11.25">
      <c r="A237" s="1210"/>
      <c r="B237" s="1863"/>
      <c r="C237" s="1863"/>
      <c r="D237" s="573"/>
      <c r="K237" s="1384"/>
      <c r="L237" s="1863"/>
      <c r="M237" s="1863"/>
      <c r="N237" s="1384"/>
      <c r="O237" s="1384"/>
      <c r="P237" s="1384"/>
      <c r="Q237" s="1384"/>
      <c r="R237" s="1863"/>
      <c r="S237" s="1384"/>
      <c r="T237" s="1384"/>
      <c r="U237" s="766"/>
      <c r="V237" s="1384"/>
      <c r="W237" s="1384"/>
      <c r="X237" s="1384"/>
      <c r="Y237" s="1384"/>
      <c r="Z237" s="1384"/>
      <c r="AA237" s="1859"/>
      <c r="AB237" s="788"/>
      <c r="AC237" s="788"/>
      <c r="AD237" s="788"/>
      <c r="AE237" s="788"/>
    </row>
    <row s="16671" customFormat="1" customHeight="1" ht="11.25">
      <c r="A238" s="1210"/>
      <c r="B238" s="1863"/>
      <c r="C238" s="1863"/>
      <c r="D238" s="573"/>
      <c r="K238" s="1384"/>
      <c r="L238" s="1863"/>
      <c r="M238" s="1863"/>
      <c r="N238" s="1384"/>
      <c r="O238" s="1384"/>
      <c r="P238" s="1384"/>
      <c r="Q238" s="1384"/>
      <c r="R238" s="1863"/>
      <c r="S238" s="1384"/>
      <c r="T238" s="1384"/>
      <c r="U238" s="766"/>
      <c r="V238" s="1384"/>
      <c r="W238" s="1384"/>
      <c r="X238" s="1384"/>
      <c r="Y238" s="1384"/>
      <c r="Z238" s="1384"/>
      <c r="AA238" s="1859"/>
      <c r="AB238" s="788"/>
      <c r="AC238" s="788"/>
      <c r="AD238" s="788"/>
      <c r="AE238" s="788"/>
    </row>
    <row s="16671" customFormat="1" customHeight="1" ht="11.25">
      <c r="A239" s="1210"/>
      <c r="B239" s="1863"/>
      <c r="C239" s="1863"/>
      <c r="D239" s="573"/>
      <c r="K239" s="1384"/>
      <c r="L239" s="1863"/>
      <c r="M239" s="1863"/>
      <c r="N239" s="1384"/>
      <c r="O239" s="1384"/>
      <c r="P239" s="1384"/>
      <c r="Q239" s="1384"/>
      <c r="R239" s="1863"/>
      <c r="S239" s="1384"/>
      <c r="T239" s="1384"/>
      <c r="U239" s="766"/>
      <c r="V239" s="1384"/>
      <c r="W239" s="1384"/>
      <c r="X239" s="1384"/>
      <c r="Y239" s="1384"/>
      <c r="Z239" s="1384"/>
      <c r="AA239" s="1859"/>
      <c r="AB239" s="788"/>
      <c r="AC239" s="788"/>
      <c r="AD239" s="788"/>
      <c r="AE239" s="788"/>
    </row>
    <row s="16671" customFormat="1" customHeight="1" ht="11.25">
      <c r="A240" s="1210"/>
      <c r="B240" s="1863"/>
      <c r="C240" s="1863"/>
      <c r="D240" s="573"/>
      <c r="K240" s="1384"/>
      <c r="L240" s="1863"/>
      <c r="M240" s="1863"/>
      <c r="N240" s="1384"/>
      <c r="O240" s="1384"/>
      <c r="P240" s="1384"/>
      <c r="Q240" s="1384"/>
      <c r="R240" s="1863"/>
      <c r="S240" s="1384"/>
      <c r="T240" s="1384"/>
      <c r="U240" s="766"/>
      <c r="V240" s="1384"/>
      <c r="W240" s="1384"/>
      <c r="X240" s="1384"/>
      <c r="Y240" s="1384"/>
      <c r="Z240" s="1384"/>
      <c r="AA240" s="1859"/>
      <c r="AB240" s="788"/>
      <c r="AC240" s="788"/>
      <c r="AD240" s="788"/>
      <c r="AE240" s="788"/>
    </row>
    <row s="16671" customFormat="1" customHeight="1" ht="11.25">
      <c r="A241" s="1210"/>
      <c r="B241" s="1863"/>
      <c r="C241" s="1863"/>
      <c r="D241" s="573"/>
      <c r="K241" s="1384"/>
      <c r="L241" s="1863"/>
      <c r="M241" s="1863"/>
      <c r="N241" s="1384"/>
      <c r="O241" s="1384"/>
      <c r="P241" s="1384"/>
      <c r="Q241" s="1384"/>
      <c r="R241" s="1863"/>
      <c r="S241" s="1384"/>
      <c r="T241" s="1384"/>
      <c r="U241" s="766"/>
      <c r="V241" s="1384"/>
      <c r="W241" s="1384"/>
      <c r="X241" s="1384"/>
      <c r="Y241" s="1384"/>
      <c r="Z241" s="1384"/>
      <c r="AA241" s="1859"/>
      <c r="AB241" s="788"/>
      <c r="AC241" s="788"/>
      <c r="AD241" s="788"/>
      <c r="AE241" s="788"/>
    </row>
    <row s="16671" customFormat="1" customHeight="1" ht="11.25">
      <c r="A242" s="1210"/>
      <c r="B242" s="1863"/>
      <c r="C242" s="1863"/>
      <c r="D242" s="573"/>
      <c r="K242" s="1384"/>
      <c r="L242" s="1863"/>
      <c r="M242" s="1863"/>
      <c r="N242" s="1384"/>
      <c r="O242" s="1384"/>
      <c r="P242" s="1384"/>
      <c r="Q242" s="1384"/>
      <c r="R242" s="1863"/>
      <c r="S242" s="1384"/>
      <c r="T242" s="1384"/>
      <c r="U242" s="766"/>
      <c r="V242" s="1384"/>
      <c r="W242" s="1384"/>
      <c r="X242" s="1384"/>
      <c r="Y242" s="1384"/>
      <c r="Z242" s="1384"/>
      <c r="AA242" s="1859"/>
      <c r="AB242" s="788"/>
      <c r="AC242" s="788"/>
      <c r="AD242" s="788"/>
      <c r="AE242" s="788"/>
    </row>
    <row s="16671" customFormat="1" customHeight="1" ht="11.25">
      <c r="A243" s="1210"/>
      <c r="B243" s="1863"/>
      <c r="C243" s="1863"/>
      <c r="D243" s="573"/>
      <c r="K243" s="1384"/>
      <c r="L243" s="1863"/>
      <c r="M243" s="1863"/>
      <c r="N243" s="1384"/>
      <c r="O243" s="1384"/>
      <c r="P243" s="1384"/>
      <c r="Q243" s="1384"/>
      <c r="R243" s="1863"/>
      <c r="S243" s="1384"/>
      <c r="T243" s="1384"/>
      <c r="U243" s="766"/>
      <c r="V243" s="1384"/>
      <c r="W243" s="1384"/>
      <c r="X243" s="1384"/>
      <c r="Y243" s="1384"/>
      <c r="Z243" s="1384"/>
      <c r="AA243" s="1859"/>
      <c r="AB243" s="788"/>
      <c r="AC243" s="788"/>
      <c r="AD243" s="788"/>
      <c r="AE243" s="788"/>
    </row>
    <row s="16671" customFormat="1" customHeight="1" ht="11.25">
      <c r="A244" s="1210"/>
      <c r="B244" s="1863"/>
      <c r="C244" s="1863"/>
      <c r="D244" s="573"/>
      <c r="K244" s="1384"/>
      <c r="L244" s="1863"/>
      <c r="M244" s="1863"/>
      <c r="N244" s="1384"/>
      <c r="O244" s="1384"/>
      <c r="P244" s="1384"/>
      <c r="Q244" s="1384"/>
      <c r="R244" s="1863"/>
      <c r="S244" s="1384"/>
      <c r="T244" s="1384"/>
      <c r="U244" s="766"/>
      <c r="V244" s="1384"/>
      <c r="W244" s="1384"/>
      <c r="X244" s="1384"/>
      <c r="Y244" s="1384"/>
      <c r="Z244" s="1384"/>
      <c r="AA244" s="1859"/>
      <c r="AB244" s="788"/>
      <c r="AC244" s="788"/>
      <c r="AD244" s="788"/>
      <c r="AE244" s="788"/>
    </row>
    <row s="16671" customFormat="1" customHeight="1" ht="11.25">
      <c r="A245" s="1210"/>
      <c r="B245" s="1863"/>
      <c r="C245" s="1863"/>
      <c r="D245" s="573"/>
      <c r="K245" s="1384"/>
      <c r="L245" s="1863"/>
      <c r="M245" s="1863"/>
      <c r="N245" s="1384"/>
      <c r="O245" s="1384"/>
      <c r="P245" s="1384"/>
      <c r="Q245" s="1384"/>
      <c r="R245" s="1863"/>
      <c r="S245" s="1384"/>
      <c r="T245" s="1384"/>
      <c r="U245" s="766"/>
      <c r="V245" s="1384"/>
      <c r="W245" s="1384"/>
      <c r="X245" s="1384"/>
      <c r="Y245" s="1384"/>
      <c r="Z245" s="1384"/>
      <c r="AA245" s="1859"/>
      <c r="AB245" s="788"/>
      <c r="AC245" s="788"/>
      <c r="AD245" s="788"/>
      <c r="AE245" s="788"/>
    </row>
    <row s="16671" customFormat="1" customHeight="1" ht="11.25">
      <c r="A246" s="1210"/>
      <c r="B246" s="1863"/>
      <c r="C246" s="1863"/>
      <c r="D246" s="573"/>
      <c r="K246" s="1384"/>
      <c r="L246" s="1863"/>
      <c r="M246" s="1863"/>
      <c r="N246" s="1384"/>
      <c r="O246" s="1384"/>
      <c r="P246" s="1384"/>
      <c r="Q246" s="1384"/>
      <c r="R246" s="1863"/>
      <c r="S246" s="1384"/>
      <c r="T246" s="1384"/>
      <c r="U246" s="766"/>
      <c r="V246" s="1384"/>
      <c r="W246" s="1384"/>
      <c r="X246" s="1384"/>
      <c r="Y246" s="1384"/>
      <c r="Z246" s="1384"/>
      <c r="AA246" s="1859"/>
      <c r="AB246" s="788"/>
      <c r="AC246" s="788"/>
      <c r="AD246" s="788"/>
      <c r="AE246" s="788"/>
    </row>
    <row s="16671" customFormat="1" customHeight="1" ht="11.25">
      <c r="A247" s="1210"/>
      <c r="B247" s="1863"/>
      <c r="C247" s="1863"/>
      <c r="D247" s="573"/>
      <c r="K247" s="1384"/>
      <c r="L247" s="1863"/>
      <c r="M247" s="1863"/>
      <c r="N247" s="1384"/>
      <c r="O247" s="1384"/>
      <c r="P247" s="1384"/>
      <c r="Q247" s="1384"/>
      <c r="R247" s="1863"/>
      <c r="S247" s="1384"/>
      <c r="T247" s="1384"/>
      <c r="U247" s="766"/>
      <c r="V247" s="1384"/>
      <c r="W247" s="1384"/>
      <c r="X247" s="1384"/>
      <c r="Y247" s="1384"/>
      <c r="Z247" s="1384"/>
      <c r="AA247" s="1859"/>
      <c r="AB247" s="788"/>
      <c r="AC247" s="788"/>
      <c r="AD247" s="788"/>
      <c r="AE247" s="788"/>
    </row>
    <row s="16671" customFormat="1" customHeight="1" ht="11.25">
      <c r="A248" s="1210"/>
      <c r="B248" s="1863"/>
      <c r="C248" s="1863"/>
      <c r="D248" s="573"/>
      <c r="K248" s="1384"/>
      <c r="L248" s="1863"/>
      <c r="M248" s="1863"/>
      <c r="N248" s="1384"/>
      <c r="O248" s="1384"/>
      <c r="P248" s="1384"/>
      <c r="Q248" s="1384"/>
      <c r="R248" s="1863"/>
      <c r="S248" s="1384"/>
      <c r="T248" s="1384"/>
      <c r="U248" s="766"/>
      <c r="V248" s="1384"/>
      <c r="W248" s="1384"/>
      <c r="X248" s="1384"/>
      <c r="Y248" s="1384"/>
      <c r="Z248" s="1384"/>
      <c r="AA248" s="1859"/>
      <c r="AB248" s="788"/>
      <c r="AC248" s="788"/>
      <c r="AD248" s="788"/>
      <c r="AE248" s="788"/>
    </row>
    <row s="16671" customFormat="1" customHeight="1" ht="11.25">
      <c r="A249" s="1210"/>
      <c r="B249" s="1863"/>
      <c r="C249" s="1863"/>
      <c r="D249" s="573"/>
      <c r="K249" s="1384"/>
      <c r="L249" s="1863"/>
      <c r="M249" s="1863"/>
      <c r="N249" s="1384"/>
      <c r="O249" s="1384"/>
      <c r="P249" s="1384"/>
      <c r="Q249" s="1384"/>
      <c r="R249" s="1863"/>
      <c r="S249" s="1384"/>
      <c r="T249" s="1384"/>
      <c r="U249" s="766"/>
      <c r="V249" s="1384"/>
      <c r="W249" s="1384"/>
      <c r="X249" s="1384"/>
      <c r="Y249" s="1384"/>
      <c r="Z249" s="1384"/>
      <c r="AA249" s="1859"/>
      <c r="AB249" s="788"/>
      <c r="AC249" s="788"/>
      <c r="AD249" s="788"/>
      <c r="AE249" s="788"/>
    </row>
    <row s="16671" customFormat="1" customHeight="1" ht="11.25">
      <c r="A250" s="1210"/>
      <c r="B250" s="1863"/>
      <c r="C250" s="1863"/>
      <c r="D250" s="573"/>
      <c r="K250" s="1384"/>
      <c r="L250" s="1863"/>
      <c r="M250" s="1863"/>
      <c r="N250" s="1384"/>
      <c r="O250" s="1384"/>
      <c r="P250" s="1384"/>
      <c r="Q250" s="1384"/>
      <c r="R250" s="1863"/>
      <c r="S250" s="1384"/>
      <c r="T250" s="1384"/>
      <c r="U250" s="766"/>
      <c r="V250" s="1384"/>
      <c r="W250" s="1384"/>
      <c r="X250" s="1384"/>
      <c r="Y250" s="1384"/>
      <c r="Z250" s="1384"/>
      <c r="AA250" s="1859"/>
      <c r="AB250" s="788"/>
      <c r="AC250" s="788"/>
      <c r="AD250" s="788"/>
      <c r="AE250" s="788"/>
    </row>
    <row s="16671" customFormat="1" customHeight="1" ht="11.25">
      <c r="A251" s="1210"/>
      <c r="B251" s="1863"/>
      <c r="C251" s="1863"/>
      <c r="D251" s="573"/>
      <c r="K251" s="1384"/>
      <c r="L251" s="1863"/>
      <c r="M251" s="1863"/>
      <c r="N251" s="1384"/>
      <c r="O251" s="1384"/>
      <c r="P251" s="1384"/>
      <c r="Q251" s="1384"/>
      <c r="R251" s="1863"/>
      <c r="S251" s="1384"/>
      <c r="T251" s="1384"/>
      <c r="U251" s="766"/>
      <c r="V251" s="1384"/>
      <c r="W251" s="1384"/>
      <c r="X251" s="1384"/>
      <c r="Y251" s="1384"/>
      <c r="Z251" s="1384"/>
      <c r="AA251" s="1859"/>
      <c r="AB251" s="788"/>
      <c r="AC251" s="788"/>
      <c r="AD251" s="788"/>
      <c r="AE251" s="788"/>
    </row>
    <row s="16671" customFormat="1" customHeight="1" ht="11.25">
      <c r="A252" s="1210"/>
      <c r="B252" s="1863"/>
      <c r="C252" s="1863"/>
      <c r="D252" s="573"/>
      <c r="K252" s="1384"/>
      <c r="L252" s="1863"/>
      <c r="M252" s="1863"/>
      <c r="N252" s="1384"/>
      <c r="O252" s="1384"/>
      <c r="P252" s="1384"/>
      <c r="Q252" s="1384"/>
      <c r="R252" s="1863"/>
      <c r="S252" s="1384"/>
      <c r="T252" s="1384"/>
      <c r="U252" s="766"/>
      <c r="V252" s="1384"/>
      <c r="W252" s="1384"/>
      <c r="X252" s="1384"/>
      <c r="Y252" s="1384"/>
      <c r="Z252" s="1384"/>
      <c r="AA252" s="1859"/>
      <c r="AB252" s="788"/>
      <c r="AC252" s="788"/>
      <c r="AD252" s="788"/>
      <c r="AE252" s="788"/>
    </row>
    <row s="16671" customFormat="1" customHeight="1" ht="11.25">
      <c r="A253" s="1210"/>
      <c r="B253" s="1863"/>
      <c r="C253" s="1863"/>
      <c r="D253" s="573"/>
      <c r="K253" s="1384"/>
      <c r="L253" s="1863"/>
      <c r="M253" s="1863"/>
      <c r="N253" s="1384"/>
      <c r="O253" s="1384"/>
      <c r="P253" s="1384"/>
      <c r="Q253" s="1384"/>
      <c r="R253" s="1863"/>
      <c r="S253" s="1384"/>
      <c r="T253" s="1384"/>
      <c r="U253" s="766"/>
      <c r="V253" s="1384"/>
      <c r="W253" s="1384"/>
      <c r="X253" s="1384"/>
      <c r="Y253" s="1384"/>
      <c r="Z253" s="1384"/>
      <c r="AA253" s="1859"/>
      <c r="AB253" s="788"/>
      <c r="AC253" s="788"/>
      <c r="AD253" s="788"/>
      <c r="AE253" s="788"/>
    </row>
    <row s="16671" customFormat="1" customHeight="1" ht="11.25">
      <c r="A254" s="1210"/>
      <c r="B254" s="1863"/>
      <c r="C254" s="1863"/>
      <c r="D254" s="573"/>
      <c r="K254" s="1384"/>
      <c r="L254" s="1863"/>
      <c r="M254" s="1863"/>
      <c r="N254" s="1384"/>
      <c r="O254" s="1384"/>
      <c r="P254" s="1384"/>
      <c r="Q254" s="1384"/>
      <c r="R254" s="1863"/>
      <c r="S254" s="1384"/>
      <c r="T254" s="1384"/>
      <c r="U254" s="766"/>
      <c r="V254" s="1384"/>
      <c r="W254" s="1384"/>
      <c r="X254" s="1384"/>
      <c r="Y254" s="1384"/>
      <c r="Z254" s="1384"/>
      <c r="AA254" s="1859"/>
      <c r="AB254" s="788"/>
      <c r="AC254" s="788"/>
      <c r="AD254" s="788"/>
      <c r="AE254" s="788"/>
    </row>
    <row s="16671" customFormat="1" customHeight="1" ht="11.25">
      <c r="A255" s="1210"/>
      <c r="B255" s="1863"/>
      <c r="C255" s="1863"/>
      <c r="D255" s="573"/>
      <c r="K255" s="1384"/>
      <c r="L255" s="1863"/>
      <c r="M255" s="1863"/>
      <c r="N255" s="1384"/>
      <c r="O255" s="1384"/>
      <c r="P255" s="1384"/>
      <c r="Q255" s="1384"/>
      <c r="R255" s="1863"/>
      <c r="S255" s="1384"/>
      <c r="T255" s="1384"/>
      <c r="U255" s="766"/>
      <c r="V255" s="1384"/>
      <c r="W255" s="1384"/>
      <c r="X255" s="1384"/>
      <c r="Y255" s="1384"/>
      <c r="Z255" s="1384"/>
      <c r="AA255" s="1859"/>
      <c r="AB255" s="788"/>
      <c r="AC255" s="788"/>
      <c r="AD255" s="788"/>
      <c r="AE255" s="788"/>
    </row>
    <row s="16671" customFormat="1" customHeight="1" ht="11.25">
      <c r="A256" s="1210"/>
      <c r="B256" s="1863"/>
      <c r="C256" s="1863"/>
      <c r="D256" s="573"/>
      <c r="K256" s="1384"/>
      <c r="L256" s="1863"/>
      <c r="M256" s="1863"/>
      <c r="N256" s="1384"/>
      <c r="O256" s="1384"/>
      <c r="P256" s="1384"/>
      <c r="Q256" s="1384"/>
      <c r="R256" s="1863"/>
      <c r="S256" s="1384"/>
      <c r="T256" s="1384"/>
      <c r="U256" s="766"/>
      <c r="V256" s="1384"/>
      <c r="W256" s="1384"/>
      <c r="X256" s="1384"/>
      <c r="Y256" s="1384"/>
      <c r="Z256" s="1384"/>
      <c r="AA256" s="1859"/>
      <c r="AB256" s="788"/>
      <c r="AC256" s="788"/>
      <c r="AD256" s="788"/>
      <c r="AE256" s="788"/>
    </row>
    <row s="16671" customFormat="1" customHeight="1" ht="11.25">
      <c r="A257" s="1210"/>
      <c r="B257" s="1863"/>
      <c r="C257" s="1863"/>
      <c r="D257" s="573"/>
      <c r="K257" s="1384"/>
      <c r="L257" s="1863"/>
      <c r="M257" s="1863"/>
      <c r="N257" s="1384"/>
      <c r="O257" s="1384"/>
      <c r="P257" s="1384"/>
      <c r="Q257" s="1384"/>
      <c r="R257" s="1863"/>
      <c r="S257" s="1384"/>
      <c r="T257" s="1384"/>
      <c r="U257" s="766"/>
      <c r="V257" s="1384"/>
      <c r="W257" s="1384"/>
      <c r="X257" s="1384"/>
      <c r="Y257" s="1384"/>
      <c r="Z257" s="1384"/>
      <c r="AA257" s="1859"/>
      <c r="AB257" s="788"/>
      <c r="AC257" s="788"/>
      <c r="AD257" s="788"/>
      <c r="AE257" s="788"/>
    </row>
    <row s="16671" customFormat="1" customHeight="1" ht="11.25">
      <c r="A258" s="1210"/>
      <c r="B258" s="1863"/>
      <c r="C258" s="1863"/>
      <c r="D258" s="573"/>
      <c r="K258" s="1384"/>
      <c r="L258" s="1863"/>
      <c r="M258" s="1863"/>
      <c r="N258" s="1384"/>
      <c r="O258" s="1384"/>
      <c r="P258" s="1384"/>
      <c r="Q258" s="1384"/>
      <c r="R258" s="1863"/>
      <c r="S258" s="1384"/>
      <c r="T258" s="1384"/>
      <c r="U258" s="766"/>
      <c r="V258" s="1384"/>
      <c r="W258" s="1384"/>
      <c r="X258" s="1384"/>
      <c r="Y258" s="1384"/>
      <c r="Z258" s="1384"/>
      <c r="AA258" s="1859"/>
      <c r="AB258" s="788"/>
      <c r="AC258" s="788"/>
      <c r="AD258" s="788"/>
      <c r="AE258" s="788"/>
    </row>
    <row s="16671" customFormat="1" customHeight="1" ht="11.25">
      <c r="A259" s="1210"/>
      <c r="B259" s="1863"/>
      <c r="C259" s="1863"/>
      <c r="D259" s="573"/>
      <c r="K259" s="1384"/>
      <c r="L259" s="1863"/>
      <c r="M259" s="1863"/>
      <c r="N259" s="1384"/>
      <c r="O259" s="1384"/>
      <c r="P259" s="1384"/>
      <c r="Q259" s="1384"/>
      <c r="R259" s="1863"/>
      <c r="S259" s="1384"/>
      <c r="T259" s="1384"/>
      <c r="U259" s="766"/>
      <c r="V259" s="1384"/>
      <c r="W259" s="1384"/>
      <c r="X259" s="1384"/>
      <c r="Y259" s="1384"/>
      <c r="Z259" s="1384"/>
      <c r="AA259" s="1859"/>
      <c r="AB259" s="788"/>
      <c r="AC259" s="788"/>
      <c r="AD259" s="788"/>
      <c r="AE259" s="788"/>
    </row>
    <row s="16671" customFormat="1" customHeight="1" ht="11.25">
      <c r="A260" s="1210"/>
      <c r="B260" s="1863"/>
      <c r="C260" s="1863"/>
      <c r="D260" s="573"/>
      <c r="K260" s="1384"/>
      <c r="L260" s="1863"/>
      <c r="M260" s="1863"/>
      <c r="N260" s="1384"/>
      <c r="O260" s="1384"/>
      <c r="P260" s="1384"/>
      <c r="Q260" s="1384"/>
      <c r="R260" s="1863"/>
      <c r="S260" s="1384"/>
      <c r="T260" s="1384"/>
      <c r="U260" s="766"/>
      <c r="V260" s="1384"/>
      <c r="W260" s="1384"/>
      <c r="X260" s="1384"/>
      <c r="Y260" s="1384"/>
      <c r="Z260" s="1384"/>
      <c r="AA260" s="1859"/>
      <c r="AB260" s="788"/>
      <c r="AC260" s="788"/>
      <c r="AD260" s="788"/>
      <c r="AE260" s="788"/>
    </row>
    <row s="16671" customFormat="1" customHeight="1" ht="11.25">
      <c r="A261" s="1210"/>
      <c r="B261" s="1863"/>
      <c r="C261" s="1863"/>
      <c r="D261" s="573"/>
      <c r="K261" s="1384"/>
      <c r="L261" s="1863"/>
      <c r="M261" s="1863"/>
      <c r="N261" s="1384"/>
      <c r="O261" s="1384"/>
      <c r="P261" s="1384"/>
      <c r="Q261" s="1384"/>
      <c r="R261" s="1863"/>
      <c r="S261" s="1384"/>
      <c r="T261" s="1384"/>
      <c r="U261" s="766"/>
      <c r="V261" s="1384"/>
      <c r="W261" s="1384"/>
      <c r="X261" s="1384"/>
      <c r="Y261" s="1384"/>
      <c r="Z261" s="1384"/>
      <c r="AA261" s="1859"/>
      <c r="AB261" s="788"/>
      <c r="AC261" s="788"/>
      <c r="AD261" s="788"/>
      <c r="AE261" s="788"/>
    </row>
    <row s="16671" customFormat="1" customHeight="1" ht="11.25">
      <c r="A262" s="1210"/>
      <c r="B262" s="1863"/>
      <c r="C262" s="1863"/>
      <c r="D262" s="573"/>
      <c r="K262" s="1384"/>
      <c r="L262" s="1863"/>
      <c r="M262" s="1863"/>
      <c r="N262" s="1384"/>
      <c r="O262" s="1384"/>
      <c r="P262" s="1384"/>
      <c r="Q262" s="1384"/>
      <c r="R262" s="1863"/>
      <c r="S262" s="1384"/>
      <c r="T262" s="1384"/>
      <c r="U262" s="766"/>
      <c r="V262" s="1384"/>
      <c r="W262" s="1384"/>
      <c r="X262" s="1384"/>
      <c r="Y262" s="1384"/>
      <c r="Z262" s="1384"/>
      <c r="AA262" s="1859"/>
      <c r="AB262" s="788"/>
      <c r="AC262" s="788"/>
      <c r="AD262" s="788"/>
      <c r="AE262" s="788"/>
    </row>
    <row s="16671" customFormat="1" customHeight="1" ht="11.25">
      <c r="A263" s="1210"/>
      <c r="B263" s="1863"/>
      <c r="C263" s="1863"/>
      <c r="D263" s="573"/>
      <c r="K263" s="1384"/>
      <c r="L263" s="1863"/>
      <c r="M263" s="1863"/>
      <c r="N263" s="1384"/>
      <c r="O263" s="1384"/>
      <c r="P263" s="1384"/>
      <c r="Q263" s="1384"/>
      <c r="R263" s="1863"/>
      <c r="S263" s="1384"/>
      <c r="T263" s="1384"/>
      <c r="U263" s="766"/>
      <c r="V263" s="1384"/>
      <c r="W263" s="1384"/>
      <c r="X263" s="1384"/>
      <c r="Y263" s="1384"/>
      <c r="Z263" s="1384"/>
      <c r="AA263" s="1859"/>
      <c r="AB263" s="788"/>
      <c r="AC263" s="788"/>
      <c r="AD263" s="788"/>
      <c r="AE263" s="788"/>
    </row>
    <row s="16671" customFormat="1" customHeight="1" ht="11.25">
      <c r="A264" s="1210"/>
      <c r="B264" s="1863"/>
      <c r="C264" s="1863"/>
      <c r="D264" s="573"/>
      <c r="K264" s="1384"/>
      <c r="L264" s="1863"/>
      <c r="M264" s="1863"/>
      <c r="N264" s="1384"/>
      <c r="O264" s="1384"/>
      <c r="P264" s="1384"/>
      <c r="Q264" s="1384"/>
      <c r="R264" s="1863"/>
      <c r="S264" s="1384"/>
      <c r="T264" s="1384"/>
      <c r="U264" s="766"/>
      <c r="V264" s="1384"/>
      <c r="W264" s="1384"/>
      <c r="X264" s="1384"/>
      <c r="Y264" s="1384"/>
      <c r="Z264" s="1384"/>
      <c r="AA264" s="1859"/>
      <c r="AB264" s="788"/>
      <c r="AC264" s="788"/>
      <c r="AD264" s="788"/>
      <c r="AE264" s="788"/>
    </row>
    <row s="16671" customFormat="1" customHeight="1" ht="11.25">
      <c r="A265" s="1210"/>
      <c r="B265" s="1863"/>
      <c r="C265" s="1863"/>
      <c r="D265" s="573"/>
      <c r="K265" s="1384"/>
      <c r="L265" s="1863"/>
      <c r="M265" s="1863"/>
      <c r="N265" s="1384"/>
      <c r="O265" s="1384"/>
      <c r="P265" s="1384"/>
      <c r="Q265" s="1384"/>
      <c r="R265" s="1863"/>
      <c r="S265" s="1384"/>
      <c r="T265" s="1384"/>
      <c r="U265" s="766"/>
      <c r="V265" s="1384"/>
      <c r="W265" s="1384"/>
      <c r="X265" s="1384"/>
      <c r="Y265" s="1384"/>
      <c r="Z265" s="1384"/>
      <c r="AA265" s="1859"/>
      <c r="AB265" s="788"/>
      <c r="AC265" s="788"/>
      <c r="AD265" s="788"/>
      <c r="AE265" s="788"/>
    </row>
    <row s="16671" customFormat="1" customHeight="1" ht="11.25">
      <c r="A266" s="1210"/>
      <c r="B266" s="1863"/>
      <c r="C266" s="1863"/>
      <c r="D266" s="573"/>
      <c r="K266" s="1384"/>
      <c r="L266" s="1863"/>
      <c r="M266" s="1863"/>
      <c r="N266" s="1384"/>
      <c r="O266" s="1384"/>
      <c r="P266" s="1384"/>
      <c r="Q266" s="1384"/>
      <c r="R266" s="1863"/>
      <c r="S266" s="1384"/>
      <c r="T266" s="1384"/>
      <c r="U266" s="766"/>
      <c r="V266" s="1384"/>
      <c r="W266" s="1384"/>
      <c r="X266" s="1384"/>
      <c r="Y266" s="1384"/>
      <c r="Z266" s="1384"/>
      <c r="AA266" s="1859"/>
      <c r="AB266" s="788"/>
      <c r="AC266" s="788"/>
      <c r="AD266" s="788"/>
      <c r="AE266" s="788"/>
    </row>
    <row s="16671" customFormat="1" customHeight="1" ht="11.25">
      <c r="A267" s="1210"/>
      <c r="B267" s="1863"/>
      <c r="C267" s="1863"/>
      <c r="D267" s="573"/>
      <c r="K267" s="1384"/>
      <c r="L267" s="1863"/>
      <c r="M267" s="1863"/>
      <c r="N267" s="1384"/>
      <c r="O267" s="1384"/>
      <c r="P267" s="1384"/>
      <c r="Q267" s="1384"/>
      <c r="R267" s="1863"/>
      <c r="S267" s="1384"/>
      <c r="T267" s="1384"/>
      <c r="U267" s="766"/>
      <c r="V267" s="1384"/>
      <c r="W267" s="1384"/>
      <c r="X267" s="1384"/>
      <c r="Y267" s="1384"/>
      <c r="Z267" s="1384"/>
      <c r="AA267" s="1859"/>
      <c r="AB267" s="788"/>
      <c r="AC267" s="788"/>
      <c r="AD267" s="788"/>
      <c r="AE267" s="788"/>
    </row>
    <row s="16671" customFormat="1" customHeight="1" ht="11.25">
      <c r="A268" s="1210"/>
      <c r="B268" s="1863"/>
      <c r="C268" s="1863"/>
      <c r="D268" s="573"/>
      <c r="K268" s="1384"/>
      <c r="L268" s="1863"/>
      <c r="M268" s="1863"/>
      <c r="N268" s="1384"/>
      <c r="O268" s="1384"/>
      <c r="P268" s="1384"/>
      <c r="Q268" s="1384"/>
      <c r="R268" s="1863"/>
      <c r="S268" s="1384"/>
      <c r="T268" s="1384"/>
      <c r="U268" s="766"/>
      <c r="V268" s="1384"/>
      <c r="W268" s="1384"/>
      <c r="X268" s="1384"/>
      <c r="Y268" s="1384"/>
      <c r="Z268" s="1384"/>
      <c r="AA268" s="1859"/>
      <c r="AB268" s="788"/>
      <c r="AC268" s="788"/>
      <c r="AD268" s="788"/>
      <c r="AE268" s="788"/>
    </row>
    <row s="16671" customFormat="1" customHeight="1" ht="11.25">
      <c r="A269" s="1210"/>
      <c r="B269" s="1863"/>
      <c r="C269" s="1863"/>
      <c r="D269" s="573"/>
      <c r="K269" s="1384"/>
      <c r="L269" s="1863"/>
      <c r="M269" s="1863"/>
      <c r="N269" s="1384"/>
      <c r="O269" s="1384"/>
      <c r="P269" s="1384"/>
      <c r="Q269" s="1384"/>
      <c r="R269" s="1863"/>
      <c r="S269" s="1384"/>
      <c r="T269" s="1384"/>
      <c r="U269" s="766"/>
      <c r="V269" s="1384"/>
      <c r="W269" s="1384"/>
      <c r="X269" s="1384"/>
      <c r="Y269" s="1384"/>
      <c r="Z269" s="1384"/>
      <c r="AA269" s="1859"/>
      <c r="AB269" s="788"/>
      <c r="AC269" s="788"/>
      <c r="AD269" s="788"/>
      <c r="AE269" s="788"/>
    </row>
    <row s="16671" customFormat="1" customHeight="1" ht="11.25">
      <c r="A270" s="1210"/>
      <c r="B270" s="1863"/>
      <c r="C270" s="1863"/>
      <c r="D270" s="573"/>
      <c r="K270" s="1384"/>
      <c r="L270" s="1863"/>
      <c r="M270" s="1863"/>
      <c r="N270" s="1384"/>
      <c r="O270" s="1384"/>
      <c r="P270" s="1384"/>
      <c r="Q270" s="1384"/>
      <c r="R270" s="1863"/>
      <c r="S270" s="1384"/>
      <c r="T270" s="1384"/>
      <c r="U270" s="766"/>
      <c r="V270" s="1384"/>
      <c r="W270" s="1384"/>
      <c r="X270" s="1384"/>
      <c r="Y270" s="1384"/>
      <c r="Z270" s="1384"/>
      <c r="AA270" s="1859"/>
      <c r="AB270" s="788"/>
      <c r="AC270" s="788"/>
      <c r="AD270" s="788"/>
      <c r="AE270" s="788"/>
    </row>
    <row s="16671" customFormat="1" customHeight="1" ht="11.25">
      <c r="A271" s="1210"/>
      <c r="B271" s="1863"/>
      <c r="C271" s="1863"/>
      <c r="D271" s="573"/>
      <c r="K271" s="1384"/>
      <c r="L271" s="1863"/>
      <c r="M271" s="1863"/>
      <c r="N271" s="1384"/>
      <c r="O271" s="1384"/>
      <c r="P271" s="1384"/>
      <c r="Q271" s="1384"/>
      <c r="R271" s="1863"/>
      <c r="S271" s="1384"/>
      <c r="T271" s="1384"/>
      <c r="U271" s="766"/>
      <c r="V271" s="1384"/>
      <c r="W271" s="1384"/>
      <c r="X271" s="1384"/>
      <c r="Y271" s="1384"/>
      <c r="Z271" s="1384"/>
      <c r="AA271" s="1859"/>
      <c r="AB271" s="788"/>
      <c r="AC271" s="788"/>
      <c r="AD271" s="788"/>
      <c r="AE271" s="788"/>
    </row>
    <row s="16671" customFormat="1" customHeight="1" ht="11.25">
      <c r="A272" s="1210"/>
      <c r="B272" s="1863"/>
      <c r="C272" s="1863"/>
      <c r="D272" s="573"/>
      <c r="K272" s="1384"/>
      <c r="L272" s="1863"/>
      <c r="M272" s="1863"/>
      <c r="N272" s="1384"/>
      <c r="O272" s="1384"/>
      <c r="P272" s="1384"/>
      <c r="Q272" s="1384"/>
      <c r="R272" s="1863"/>
      <c r="S272" s="1384"/>
      <c r="T272" s="1384"/>
      <c r="U272" s="766"/>
      <c r="V272" s="1384"/>
      <c r="W272" s="1384"/>
      <c r="X272" s="1384"/>
      <c r="Y272" s="1384"/>
      <c r="Z272" s="1384"/>
      <c r="AA272" s="1859"/>
      <c r="AB272" s="788"/>
      <c r="AC272" s="788"/>
      <c r="AD272" s="788"/>
      <c r="AE272" s="788"/>
    </row>
    <row s="16671" customFormat="1" customHeight="1" ht="11.25">
      <c r="A273" s="1210"/>
      <c r="B273" s="1863"/>
      <c r="C273" s="1863"/>
      <c r="D273" s="573"/>
      <c r="K273" s="1384"/>
      <c r="L273" s="1863"/>
      <c r="M273" s="1863"/>
      <c r="N273" s="1384"/>
      <c r="O273" s="1384"/>
      <c r="P273" s="1384"/>
      <c r="Q273" s="1384"/>
      <c r="R273" s="1863"/>
      <c r="S273" s="1384"/>
      <c r="T273" s="1384"/>
      <c r="U273" s="766"/>
      <c r="V273" s="1384"/>
      <c r="W273" s="1384"/>
      <c r="X273" s="1384"/>
      <c r="Y273" s="1384"/>
      <c r="Z273" s="1384"/>
      <c r="AA273" s="1859"/>
      <c r="AB273" s="788"/>
      <c r="AC273" s="788"/>
      <c r="AD273" s="788"/>
      <c r="AE273" s="788"/>
    </row>
    <row s="16671" customFormat="1" customHeight="1" ht="11.25">
      <c r="A274" s="1210"/>
      <c r="B274" s="1863"/>
      <c r="C274" s="1863"/>
      <c r="D274" s="573"/>
      <c r="K274" s="1384"/>
      <c r="L274" s="1863"/>
      <c r="M274" s="1863"/>
      <c r="N274" s="1384"/>
      <c r="O274" s="1384"/>
      <c r="P274" s="1384"/>
      <c r="Q274" s="1384"/>
      <c r="R274" s="1863"/>
      <c r="S274" s="1384"/>
      <c r="T274" s="1384"/>
      <c r="U274" s="766"/>
      <c r="V274" s="1384"/>
      <c r="W274" s="1384"/>
      <c r="X274" s="1384"/>
      <c r="Y274" s="1384"/>
      <c r="Z274" s="1384"/>
      <c r="AA274" s="1859"/>
      <c r="AB274" s="788"/>
      <c r="AC274" s="788"/>
      <c r="AD274" s="788"/>
      <c r="AE274" s="788"/>
    </row>
    <row s="16671" customFormat="1" customHeight="1" ht="11.25">
      <c r="A275" s="1210"/>
      <c r="B275" s="1863"/>
      <c r="C275" s="1863"/>
      <c r="D275" s="573"/>
      <c r="K275" s="1384"/>
      <c r="L275" s="1863"/>
      <c r="M275" s="1863"/>
      <c r="N275" s="1384"/>
      <c r="O275" s="1384"/>
      <c r="P275" s="1384"/>
      <c r="Q275" s="1384"/>
      <c r="R275" s="1863"/>
      <c r="S275" s="1384"/>
      <c r="T275" s="1384"/>
      <c r="U275" s="766"/>
      <c r="V275" s="1384"/>
      <c r="W275" s="1384"/>
      <c r="X275" s="1384"/>
      <c r="Y275" s="1384"/>
      <c r="Z275" s="1384"/>
      <c r="AA275" s="1859"/>
      <c r="AB275" s="788"/>
      <c r="AC275" s="788"/>
      <c r="AD275" s="788"/>
      <c r="AE275" s="788"/>
    </row>
    <row s="16671" customFormat="1" customHeight="1" ht="11.25">
      <c r="A276" s="1210"/>
      <c r="B276" s="1863"/>
      <c r="C276" s="1863"/>
      <c r="D276" s="573"/>
      <c r="K276" s="1384"/>
      <c r="L276" s="1863"/>
      <c r="M276" s="1863"/>
      <c r="N276" s="1384"/>
      <c r="O276" s="1384"/>
      <c r="P276" s="1384"/>
      <c r="Q276" s="1384"/>
      <c r="R276" s="1863"/>
      <c r="S276" s="1384"/>
      <c r="T276" s="1384"/>
      <c r="U276" s="766"/>
      <c r="V276" s="1384"/>
      <c r="W276" s="1384"/>
      <c r="X276" s="1384"/>
      <c r="Y276" s="1384"/>
      <c r="Z276" s="1384"/>
      <c r="AA276" s="1859"/>
      <c r="AB276" s="788"/>
      <c r="AC276" s="788"/>
      <c r="AD276" s="788"/>
      <c r="AE276" s="788"/>
    </row>
    <row s="16671" customFormat="1" customHeight="1" ht="11.25">
      <c r="A277" s="1210"/>
      <c r="B277" s="1863"/>
      <c r="C277" s="1863"/>
      <c r="D277" s="573"/>
      <c r="K277" s="1384"/>
      <c r="L277" s="1863"/>
      <c r="M277" s="1863"/>
      <c r="N277" s="1384"/>
      <c r="O277" s="1384"/>
      <c r="P277" s="1384"/>
      <c r="Q277" s="1384"/>
      <c r="R277" s="1863"/>
      <c r="S277" s="1384"/>
      <c r="T277" s="1384"/>
      <c r="U277" s="766"/>
      <c r="V277" s="1384"/>
      <c r="W277" s="1384"/>
      <c r="X277" s="1384"/>
      <c r="Y277" s="1384"/>
      <c r="Z277" s="1384"/>
      <c r="AA277" s="1859"/>
      <c r="AB277" s="788"/>
      <c r="AC277" s="788"/>
      <c r="AD277" s="788"/>
      <c r="AE277" s="788"/>
    </row>
    <row s="16671" customFormat="1" customHeight="1" ht="11.25">
      <c r="A278" s="1210"/>
      <c r="B278" s="1863"/>
      <c r="C278" s="1863"/>
      <c r="D278" s="573"/>
      <c r="K278" s="1384"/>
      <c r="L278" s="1863"/>
      <c r="M278" s="1863"/>
      <c r="N278" s="1384"/>
      <c r="O278" s="1384"/>
      <c r="P278" s="1384"/>
      <c r="Q278" s="1384"/>
      <c r="R278" s="1863"/>
      <c r="S278" s="1384"/>
      <c r="T278" s="1384"/>
      <c r="U278" s="766"/>
      <c r="V278" s="1384"/>
      <c r="W278" s="1384"/>
      <c r="X278" s="1384"/>
      <c r="Y278" s="1384"/>
      <c r="Z278" s="1384"/>
      <c r="AA278" s="1859"/>
      <c r="AB278" s="788"/>
      <c r="AC278" s="788"/>
      <c r="AD278" s="788"/>
      <c r="AE278" s="788"/>
    </row>
    <row s="16671" customFormat="1" customHeight="1" ht="11.25">
      <c r="A279" s="1210"/>
      <c r="B279" s="1863"/>
      <c r="C279" s="1863"/>
      <c r="D279" s="573"/>
      <c r="K279" s="1384"/>
      <c r="L279" s="1863"/>
      <c r="M279" s="1863"/>
      <c r="N279" s="1384"/>
      <c r="O279" s="1384"/>
      <c r="P279" s="1384"/>
      <c r="Q279" s="1384"/>
      <c r="R279" s="1863"/>
      <c r="S279" s="1384"/>
      <c r="T279" s="1384"/>
      <c r="U279" s="766"/>
      <c r="V279" s="1384"/>
      <c r="W279" s="1384"/>
      <c r="X279" s="1384"/>
      <c r="Y279" s="1384"/>
      <c r="Z279" s="1384"/>
      <c r="AA279" s="1859"/>
      <c r="AB279" s="788"/>
      <c r="AC279" s="788"/>
      <c r="AD279" s="788"/>
      <c r="AE279" s="788"/>
    </row>
    <row s="16671" customFormat="1" customHeight="1" ht="11.25">
      <c r="A280" s="1210"/>
      <c r="B280" s="1863"/>
      <c r="C280" s="1863"/>
      <c r="D280" s="573"/>
      <c r="K280" s="1384"/>
      <c r="L280" s="1863"/>
      <c r="M280" s="1863"/>
      <c r="N280" s="1384"/>
      <c r="O280" s="1384"/>
      <c r="P280" s="1384"/>
      <c r="Q280" s="1384"/>
      <c r="R280" s="1863"/>
      <c r="S280" s="1384"/>
      <c r="T280" s="1384"/>
      <c r="U280" s="766"/>
      <c r="V280" s="1384"/>
      <c r="W280" s="1384"/>
      <c r="X280" s="1384"/>
      <c r="Y280" s="1384"/>
      <c r="Z280" s="1384"/>
      <c r="AA280" s="1859"/>
      <c r="AB280" s="788"/>
      <c r="AC280" s="788"/>
      <c r="AD280" s="788"/>
      <c r="AE280" s="788"/>
    </row>
    <row s="16671" customFormat="1" customHeight="1" ht="11.25">
      <c r="A281" s="1210"/>
      <c r="B281" s="1863"/>
      <c r="C281" s="1863"/>
      <c r="D281" s="573"/>
      <c r="K281" s="1384"/>
      <c r="L281" s="1863"/>
      <c r="M281" s="1863"/>
      <c r="N281" s="1384"/>
      <c r="O281" s="1384"/>
      <c r="P281" s="1384"/>
      <c r="Q281" s="1384"/>
      <c r="R281" s="1863"/>
      <c r="S281" s="1384"/>
      <c r="T281" s="1384"/>
      <c r="U281" s="766"/>
      <c r="V281" s="1384"/>
      <c r="W281" s="1384"/>
      <c r="X281" s="1384"/>
      <c r="Y281" s="1384"/>
      <c r="Z281" s="1384"/>
      <c r="AA281" s="1859"/>
      <c r="AB281" s="788"/>
      <c r="AC281" s="788"/>
      <c r="AD281" s="788"/>
      <c r="AE281" s="788"/>
    </row>
    <row s="16671" customFormat="1" customHeight="1" ht="11.25">
      <c r="A282" s="1210"/>
      <c r="B282" s="1863"/>
      <c r="C282" s="1863"/>
      <c r="D282" s="573"/>
      <c r="K282" s="1384"/>
      <c r="L282" s="1863"/>
      <c r="M282" s="1863"/>
      <c r="N282" s="1384"/>
      <c r="O282" s="1384"/>
      <c r="P282" s="1384"/>
      <c r="Q282" s="1384"/>
      <c r="R282" s="1863"/>
      <c r="S282" s="1384"/>
      <c r="T282" s="1384"/>
      <c r="U282" s="766"/>
      <c r="V282" s="1384"/>
      <c r="W282" s="1384"/>
      <c r="X282" s="1384"/>
      <c r="Y282" s="1384"/>
      <c r="Z282" s="1384"/>
      <c r="AA282" s="1859"/>
      <c r="AB282" s="788"/>
      <c r="AC282" s="788"/>
      <c r="AD282" s="788"/>
      <c r="AE282" s="788"/>
    </row>
    <row s="16671" customFormat="1" customHeight="1" ht="11.25">
      <c r="A283" s="1210"/>
      <c r="B283" s="1863"/>
      <c r="C283" s="1863"/>
      <c r="D283" s="573"/>
      <c r="K283" s="1384"/>
      <c r="L283" s="1863"/>
      <c r="M283" s="1863"/>
      <c r="N283" s="1384"/>
      <c r="O283" s="1384"/>
      <c r="P283" s="1384"/>
      <c r="Q283" s="1384"/>
      <c r="R283" s="1863"/>
      <c r="S283" s="1384"/>
      <c r="T283" s="1384"/>
      <c r="U283" s="766"/>
      <c r="V283" s="1384"/>
      <c r="W283" s="1384"/>
      <c r="X283" s="1384"/>
      <c r="Y283" s="1384"/>
      <c r="Z283" s="1384"/>
      <c r="AA283" s="1859"/>
      <c r="AB283" s="788"/>
      <c r="AC283" s="788"/>
      <c r="AD283" s="788"/>
      <c r="AE283" s="788"/>
    </row>
    <row s="16671" customFormat="1" customHeight="1" ht="11.25">
      <c r="A284" s="1210"/>
      <c r="B284" s="1863"/>
      <c r="C284" s="1863"/>
      <c r="D284" s="573"/>
      <c r="K284" s="1384"/>
      <c r="L284" s="1863"/>
      <c r="M284" s="1863"/>
      <c r="N284" s="1384"/>
      <c r="O284" s="1384"/>
      <c r="P284" s="1384"/>
      <c r="Q284" s="1384"/>
      <c r="R284" s="1863"/>
      <c r="S284" s="1384"/>
      <c r="T284" s="1384"/>
      <c r="U284" s="766"/>
      <c r="V284" s="1384"/>
      <c r="W284" s="1384"/>
      <c r="X284" s="1384"/>
      <c r="Y284" s="1384"/>
      <c r="Z284" s="1384"/>
      <c r="AA284" s="1859"/>
      <c r="AB284" s="788"/>
      <c r="AC284" s="788"/>
      <c r="AD284" s="788"/>
      <c r="AE284" s="788"/>
    </row>
    <row s="16671" customFormat="1" customHeight="1" ht="11.25">
      <c r="A285" s="1210"/>
      <c r="B285" s="1863"/>
      <c r="C285" s="1863"/>
      <c r="D285" s="573"/>
      <c r="K285" s="1384"/>
      <c r="L285" s="1863"/>
      <c r="M285" s="1863"/>
      <c r="N285" s="1384"/>
      <c r="O285" s="1384"/>
      <c r="P285" s="1384"/>
      <c r="Q285" s="1384"/>
      <c r="R285" s="1863"/>
      <c r="S285" s="1384"/>
      <c r="T285" s="1384"/>
      <c r="U285" s="766"/>
      <c r="V285" s="1384"/>
      <c r="W285" s="1384"/>
      <c r="X285" s="1384"/>
      <c r="Y285" s="1384"/>
      <c r="Z285" s="1384"/>
      <c r="AA285" s="1859"/>
      <c r="AB285" s="788"/>
      <c r="AC285" s="788"/>
      <c r="AD285" s="788"/>
      <c r="AE285" s="788"/>
    </row>
    <row s="16671" customFormat="1" customHeight="1" ht="11.25">
      <c r="A286" s="1210"/>
      <c r="B286" s="1863"/>
      <c r="C286" s="1863"/>
      <c r="D286" s="573"/>
      <c r="K286" s="1384"/>
      <c r="L286" s="1863"/>
      <c r="M286" s="1863"/>
      <c r="N286" s="1384"/>
      <c r="O286" s="1384"/>
      <c r="P286" s="1384"/>
      <c r="Q286" s="1384"/>
      <c r="R286" s="1863"/>
      <c r="S286" s="1384"/>
      <c r="T286" s="1384"/>
      <c r="U286" s="766"/>
      <c r="V286" s="1384"/>
      <c r="W286" s="1384"/>
      <c r="X286" s="1384"/>
      <c r="Y286" s="1384"/>
      <c r="Z286" s="1384"/>
      <c r="AA286" s="1859"/>
      <c r="AB286" s="788"/>
      <c r="AC286" s="788"/>
      <c r="AD286" s="788"/>
      <c r="AE286" s="788"/>
    </row>
    <row s="16671" customFormat="1" customHeight="1" ht="11.25">
      <c r="A287" s="1210"/>
      <c r="B287" s="1863"/>
      <c r="C287" s="1863"/>
      <c r="D287" s="573"/>
      <c r="K287" s="1384"/>
      <c r="L287" s="1863"/>
      <c r="M287" s="1863"/>
      <c r="N287" s="1384"/>
      <c r="O287" s="1384"/>
      <c r="P287" s="1384"/>
      <c r="Q287" s="1384"/>
      <c r="R287" s="1863"/>
      <c r="S287" s="1384"/>
      <c r="T287" s="1384"/>
      <c r="U287" s="766"/>
      <c r="V287" s="1384"/>
      <c r="W287" s="1384"/>
      <c r="X287" s="1384"/>
      <c r="Y287" s="1384"/>
      <c r="Z287" s="1384"/>
      <c r="AA287" s="1859"/>
      <c r="AB287" s="788"/>
      <c r="AC287" s="788"/>
      <c r="AD287" s="788"/>
      <c r="AE287" s="788"/>
    </row>
    <row s="16671" customFormat="1" customHeight="1" ht="11.25">
      <c r="A288" s="1210"/>
      <c r="B288" s="1863"/>
      <c r="C288" s="1863"/>
      <c r="D288" s="573"/>
      <c r="K288" s="1384"/>
      <c r="L288" s="1863"/>
      <c r="M288" s="1863"/>
      <c r="N288" s="1384"/>
      <c r="O288" s="1384"/>
      <c r="P288" s="1384"/>
      <c r="Q288" s="1384"/>
      <c r="R288" s="1863"/>
      <c r="S288" s="1384"/>
      <c r="T288" s="1384"/>
      <c r="U288" s="766"/>
      <c r="V288" s="1384"/>
      <c r="W288" s="1384"/>
      <c r="X288" s="1384"/>
      <c r="Y288" s="1384"/>
      <c r="Z288" s="1384"/>
      <c r="AA288" s="1859"/>
      <c r="AB288" s="788"/>
      <c r="AC288" s="788"/>
      <c r="AD288" s="788"/>
      <c r="AE288" s="788"/>
    </row>
    <row r="292" customHeight="1" ht="11.25">
      <c r="A292" s="1213"/>
      <c r="B292" s="1858"/>
      <c r="D292" s="1858"/>
      <c r="K292" s="1858"/>
      <c r="N292" s="1858"/>
      <c r="O292" s="1858"/>
      <c r="P292" s="1858"/>
      <c r="Q292" s="1858"/>
      <c r="S292" s="1858"/>
      <c r="T292" s="1858"/>
      <c r="U292" s="1858"/>
      <c r="V292" s="1858"/>
      <c r="W292" s="1858"/>
      <c r="X292" s="1858"/>
      <c r="Y292" s="1858"/>
      <c r="Z292" s="1858"/>
      <c r="AA292" s="1858"/>
      <c r="AB292" s="1858"/>
      <c r="AC292" s="1858"/>
      <c r="AD292" s="1858"/>
      <c r="AE292" s="1858"/>
    </row>
    <row customHeight="1" ht="11.25">
      <c r="A293" s="1213"/>
      <c r="B293" s="1858"/>
      <c r="D293" s="1858"/>
      <c r="K293" s="1858"/>
      <c r="N293" s="1858"/>
      <c r="O293" s="1858"/>
      <c r="P293" s="1858"/>
      <c r="Q293" s="1858"/>
      <c r="S293" s="1858"/>
      <c r="T293" s="1858"/>
      <c r="U293" s="1858"/>
      <c r="V293" s="1858"/>
      <c r="W293" s="1858"/>
      <c r="X293" s="1858"/>
      <c r="Y293" s="1858"/>
      <c r="Z293" s="1858"/>
      <c r="AA293" s="1858"/>
      <c r="AB293" s="1858"/>
      <c r="AC293" s="1858"/>
      <c r="AD293" s="1858"/>
      <c r="AE293" s="1858"/>
    </row>
    <row customHeight="1" ht="11.25">
      <c r="A294" s="1213"/>
      <c r="B294" s="1858"/>
      <c r="D294" s="1858"/>
      <c r="K294" s="1858"/>
      <c r="N294" s="1858"/>
      <c r="O294" s="1858"/>
      <c r="P294" s="1858"/>
      <c r="Q294" s="1858"/>
      <c r="S294" s="1858"/>
      <c r="T294" s="1858"/>
      <c r="U294" s="1858"/>
      <c r="V294" s="1858"/>
      <c r="W294" s="1858"/>
      <c r="X294" s="1858"/>
      <c r="Y294" s="1858"/>
      <c r="Z294" s="1858"/>
      <c r="AA294" s="1858"/>
      <c r="AB294" s="1858"/>
      <c r="AC294" s="1858"/>
      <c r="AD294" s="1858"/>
      <c r="AE294" s="1858"/>
    </row>
    <row customHeight="1" ht="11.25">
      <c r="A295" s="1213"/>
      <c r="B295" s="1858"/>
      <c r="D295" s="1858"/>
      <c r="K295" s="1858"/>
      <c r="N295" s="1858"/>
      <c r="O295" s="1858"/>
      <c r="P295" s="1858"/>
      <c r="Q295" s="1858"/>
      <c r="S295" s="1858"/>
      <c r="T295" s="1858"/>
      <c r="U295" s="1858"/>
      <c r="V295" s="1858"/>
      <c r="W295" s="1858"/>
      <c r="X295" s="1858"/>
      <c r="Y295" s="1858"/>
      <c r="Z295" s="1858"/>
      <c r="AA295" s="1858"/>
      <c r="AB295" s="1858"/>
      <c r="AC295" s="1858"/>
      <c r="AD295" s="1858"/>
      <c r="AE295" s="1858"/>
    </row>
    <row customHeight="1" ht="11.25">
      <c r="A296" s="1213"/>
      <c r="B296" s="1858"/>
      <c r="D296" s="1858"/>
      <c r="K296" s="1858"/>
      <c r="N296" s="1858"/>
      <c r="O296" s="1858"/>
      <c r="P296" s="1858"/>
      <c r="Q296" s="1858"/>
      <c r="S296" s="1858"/>
      <c r="T296" s="1858"/>
      <c r="U296" s="1858"/>
      <c r="V296" s="1858"/>
      <c r="W296" s="1858"/>
      <c r="X296" s="1858"/>
      <c r="Y296" s="1858"/>
      <c r="Z296" s="1858"/>
      <c r="AA296" s="1858"/>
      <c r="AB296" s="1858"/>
      <c r="AC296" s="1858"/>
      <c r="AD296" s="1858"/>
      <c r="AE296" s="1858"/>
    </row>
    <row customHeight="1" ht="11.25">
      <c r="A297" s="1213"/>
      <c r="B297" s="1858"/>
      <c r="D297" s="1858"/>
      <c r="K297" s="1858"/>
      <c r="N297" s="1858"/>
      <c r="O297" s="1858"/>
      <c r="P297" s="1858"/>
      <c r="Q297" s="1858"/>
      <c r="S297" s="1858"/>
      <c r="T297" s="1858"/>
      <c r="U297" s="1858"/>
      <c r="V297" s="1858"/>
      <c r="W297" s="1858"/>
      <c r="X297" s="1858"/>
      <c r="Y297" s="1858"/>
      <c r="Z297" s="1858"/>
      <c r="AA297" s="1858"/>
      <c r="AB297" s="1858"/>
      <c r="AC297" s="1858"/>
      <c r="AD297" s="1858"/>
      <c r="AE297" s="1858"/>
    </row>
    <row customHeight="1" ht="11.25">
      <c r="A298" s="1213"/>
      <c r="B298" s="1858"/>
      <c r="D298" s="1858"/>
      <c r="K298" s="1858"/>
      <c r="N298" s="1858"/>
      <c r="O298" s="1858"/>
      <c r="P298" s="1858"/>
      <c r="Q298" s="1858"/>
      <c r="S298" s="1858"/>
      <c r="T298" s="1858"/>
      <c r="U298" s="1858"/>
      <c r="V298" s="1858"/>
      <c r="W298" s="1858"/>
      <c r="X298" s="1858"/>
      <c r="Y298" s="1858"/>
      <c r="Z298" s="1858"/>
      <c r="AA298" s="1858"/>
      <c r="AB298" s="1858"/>
      <c r="AC298" s="1858"/>
      <c r="AD298" s="1858"/>
      <c r="AE298" s="1858"/>
    </row>
    <row customHeight="1" ht="11.25">
      <c r="A299" s="1213"/>
      <c r="B299" s="1858"/>
      <c r="D299" s="1858"/>
      <c r="K299" s="1858"/>
      <c r="N299" s="1858"/>
      <c r="O299" s="1858"/>
      <c r="P299" s="1858"/>
      <c r="Q299" s="1858"/>
      <c r="S299" s="1858"/>
      <c r="T299" s="1858"/>
      <c r="U299" s="1858"/>
      <c r="V299" s="1858"/>
      <c r="W299" s="1858"/>
      <c r="X299" s="1858"/>
      <c r="Y299" s="1858"/>
      <c r="Z299" s="1858"/>
      <c r="AA299" s="1858"/>
      <c r="AB299" s="1858"/>
      <c r="AC299" s="1858"/>
      <c r="AD299" s="1858"/>
      <c r="AE299" s="1858"/>
    </row>
    <row customHeight="1" ht="11.25">
      <c r="A300" s="1213"/>
      <c r="B300" s="1858"/>
      <c r="D300" s="1858"/>
      <c r="K300" s="1858"/>
      <c r="N300" s="1858"/>
      <c r="O300" s="1858"/>
      <c r="P300" s="1858"/>
      <c r="Q300" s="1858"/>
      <c r="S300" s="1858"/>
      <c r="T300" s="1858"/>
      <c r="U300" s="1858"/>
      <c r="V300" s="1858"/>
      <c r="W300" s="1858"/>
      <c r="X300" s="1858"/>
      <c r="Y300" s="1858"/>
      <c r="Z300" s="1858"/>
      <c r="AA300" s="1858"/>
      <c r="AB300" s="1858"/>
      <c r="AC300" s="1858"/>
      <c r="AD300" s="1858"/>
      <c r="AE300" s="1858"/>
    </row>
    <row customHeight="1" ht="11.25">
      <c r="A301" s="1213"/>
      <c r="B301" s="1858"/>
      <c r="D301" s="1858"/>
      <c r="K301" s="1858"/>
      <c r="N301" s="1858"/>
      <c r="O301" s="1858"/>
      <c r="P301" s="1858"/>
      <c r="Q301" s="1858"/>
      <c r="S301" s="1858"/>
      <c r="T301" s="1858"/>
      <c r="U301" s="1858"/>
      <c r="V301" s="1858"/>
      <c r="W301" s="1858"/>
      <c r="X301" s="1858"/>
      <c r="Y301" s="1858"/>
      <c r="Z301" s="1858"/>
      <c r="AA301" s="1858"/>
      <c r="AB301" s="1858"/>
      <c r="AC301" s="1858"/>
      <c r="AD301" s="1858"/>
      <c r="AE301" s="1858"/>
    </row>
    <row customHeight="1" ht="11.25">
      <c r="A302" s="1213"/>
      <c r="B302" s="1858"/>
      <c r="D302" s="1858"/>
      <c r="K302" s="1858"/>
      <c r="N302" s="1858"/>
      <c r="O302" s="1858"/>
      <c r="P302" s="1858"/>
      <c r="Q302" s="1858"/>
      <c r="S302" s="1858"/>
      <c r="T302" s="1858"/>
      <c r="U302" s="1858"/>
      <c r="V302" s="1858"/>
      <c r="W302" s="1858"/>
      <c r="X302" s="1858"/>
      <c r="Y302" s="1858"/>
      <c r="Z302" s="1858"/>
      <c r="AA302" s="1858"/>
      <c r="AB302" s="1858"/>
      <c r="AC302" s="1858"/>
      <c r="AD302" s="1858"/>
      <c r="AE302" s="1858"/>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03F0F9-45CC-A973-A8EB-1CA8E502CD5C}"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21886" width="14.7109375" hidden="1" customWidth="1"/>
    <col min="2" max="2" style="16403" width="17.00390625" hidden="1" customWidth="1"/>
    <col min="3" max="3" style="16406" width="3.7109375" customWidth="1"/>
    <col min="4" max="4" style="16406" width="1.8515625" hidden="1" customWidth="1"/>
    <col min="5" max="6" style="16406" width="7.7109375" customWidth="1"/>
    <col min="7" max="7" style="16406" width="29.7109375" customWidth="1"/>
    <col min="8" max="8" style="16406" width="3.7109375" customWidth="1"/>
    <col min="9" max="9" style="16406" width="5.421875" customWidth="1"/>
    <col min="10" max="10" style="16406" width="24.57421875" customWidth="1"/>
    <col min="11" max="11" style="16406" width="24.421875" customWidth="1"/>
    <col min="12" max="12" style="16406" width="3.7109375" customWidth="1"/>
    <col min="13" max="13" style="16406" width="6.28125" customWidth="1"/>
    <col min="14" max="14" style="16406" width="25.8515625" customWidth="1"/>
    <col min="15" max="18" style="16406" width="18.7109375" customWidth="1"/>
    <col min="19" max="19" style="16406" width="93.421875" customWidth="1"/>
    <col min="20" max="20" style="16406" width="10.57421875" customWidth="1"/>
    <col min="21" max="21" style="21887" width="10.57421875" customWidth="1"/>
    <col min="22" max="22" style="21887" width="11.7109375" customWidth="1"/>
    <col min="23" max="23" style="21888" width="10.57421875" customWidth="1"/>
    <col min="24" max="27" style="16403" width="10.57421875" customWidth="1"/>
    <col min="28" max="83" style="16406" width="9.140625"/>
  </cols>
  <sheetData>
    <row customHeight="1" ht="11.25" hidden="1"/>
    <row customHeight="1" ht="11.25" hidden="1"/>
    <row customHeight="1" ht="11.25" hidden="1"/>
    <row customHeight="1" ht="3">
      <c r="C4" s="731"/>
      <c r="D4" s="731"/>
      <c r="E4" s="731"/>
      <c r="F4" s="731"/>
      <c r="G4" s="731"/>
      <c r="H4" s="731"/>
      <c r="I4" s="731"/>
      <c r="J4" s="731"/>
      <c r="K4" s="389"/>
      <c r="L4" s="389"/>
      <c r="M4" s="389"/>
    </row>
    <row customHeight="1" ht="28.5">
      <c r="C5" s="731"/>
      <c r="D5" s="1280"/>
      <c r="E5" s="236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66"/>
      <c r="G5" s="2366"/>
      <c r="H5" s="2366"/>
      <c r="I5" s="2366"/>
      <c r="J5" s="2366"/>
      <c r="K5" s="2366"/>
      <c r="L5" s="835"/>
      <c r="M5" s="835"/>
    </row>
    <row s="15861" customFormat="1" customHeight="1" ht="16.5">
      <c r="A6" s="832"/>
      <c r="B6" s="981"/>
      <c r="C6" s="731"/>
      <c r="D6" s="1281"/>
      <c r="E6" s="2335" t="str">
        <f>IF(org=0,"Не определено",org)</f>
        <v>КГУП "Примтеплоэнерго"</v>
      </c>
      <c r="F6" s="2335"/>
      <c r="G6" s="2335"/>
      <c r="H6" s="2335"/>
      <c r="I6" s="2335"/>
      <c r="J6" s="2335"/>
      <c r="K6" s="2335"/>
      <c r="L6" s="835"/>
      <c r="M6" s="835"/>
      <c r="U6" s="833"/>
      <c r="V6" s="833"/>
      <c r="W6" s="834"/>
      <c r="X6" s="981"/>
      <c r="Y6" s="981"/>
      <c r="Z6" s="981"/>
      <c r="AA6" s="981"/>
    </row>
    <row customHeight="1" ht="11.25">
      <c r="C7" s="731"/>
      <c r="D7" s="731"/>
      <c r="E7" s="731"/>
      <c r="F7" s="731"/>
      <c r="G7" s="744"/>
      <c r="H7" s="744"/>
      <c r="I7" s="744"/>
      <c r="J7" s="744"/>
      <c r="K7" s="836"/>
      <c r="L7" s="836"/>
      <c r="M7" s="836"/>
      <c r="R7" s="974"/>
    </row>
    <row s="16382" customFormat="1" customHeight="1" ht="5.25">
      <c r="A8" s="843"/>
      <c r="B8" s="788"/>
      <c r="C8" s="573"/>
      <c r="D8" s="573"/>
      <c r="E8" s="573"/>
      <c r="F8" s="573"/>
      <c r="G8" s="1198"/>
      <c r="H8" s="1198"/>
      <c r="I8" s="1198"/>
      <c r="J8" s="1198"/>
      <c r="K8" s="1241"/>
      <c r="L8" s="1241"/>
      <c r="M8" s="1241"/>
      <c r="R8" s="1242"/>
      <c r="U8" s="833"/>
      <c r="V8" s="833"/>
      <c r="W8" s="844"/>
      <c r="X8" s="788"/>
      <c r="Y8" s="788"/>
      <c r="Z8" s="788"/>
      <c r="AA8" s="788"/>
    </row>
    <row customHeight="1" ht="18.75">
      <c r="D9" s="511"/>
      <c r="E9" s="2237" t="s">
        <v>406</v>
      </c>
      <c r="F9" s="2238"/>
      <c r="G9" s="2238"/>
      <c r="H9" s="2238"/>
      <c r="I9" s="2238"/>
      <c r="J9" s="2238"/>
      <c r="K9" s="2238"/>
      <c r="L9" s="2238"/>
      <c r="M9" s="2238"/>
      <c r="N9" s="2238"/>
      <c r="O9" s="2238"/>
      <c r="P9" s="2238"/>
      <c r="Q9" s="2238"/>
      <c r="R9" s="2239"/>
      <c r="S9" s="2253" t="s">
        <v>407</v>
      </c>
      <c r="T9" s="556"/>
    </row>
    <row customHeight="1" ht="33.75">
      <c r="D10" s="773" t="s">
        <v>84</v>
      </c>
      <c r="E10" s="2253" t="s">
        <v>84</v>
      </c>
      <c r="F10" s="2253"/>
      <c r="G10" s="743" t="s">
        <v>408</v>
      </c>
      <c r="H10" s="2253" t="s">
        <v>84</v>
      </c>
      <c r="I10" s="2253"/>
      <c r="J10" s="743" t="s">
        <v>708</v>
      </c>
      <c r="K10" s="743" t="s">
        <v>709</v>
      </c>
      <c r="L10" s="2253" t="s">
        <v>84</v>
      </c>
      <c r="M10" s="2253"/>
      <c r="N10" s="743" t="s">
        <v>710</v>
      </c>
      <c r="O10" s="743" t="s">
        <v>711</v>
      </c>
      <c r="P10" s="743" t="s">
        <v>712</v>
      </c>
      <c r="Q10" s="743" t="s">
        <v>713</v>
      </c>
      <c r="R10" s="743" t="s">
        <v>714</v>
      </c>
      <c r="S10" s="2253"/>
      <c r="T10" s="556"/>
    </row>
    <row s="16622" customFormat="1" customHeight="1" ht="15" hidden="1">
      <c r="A11" s="1275"/>
      <c r="D11" s="1248" t="s">
        <v>168</v>
      </c>
      <c r="E11" s="1248"/>
      <c r="F11" s="1248" t="s">
        <v>99</v>
      </c>
      <c r="G11" s="1248" t="s">
        <v>86</v>
      </c>
      <c r="H11" s="1248"/>
      <c r="I11" s="1248" t="s">
        <v>87</v>
      </c>
      <c r="J11" s="1248" t="s">
        <v>113</v>
      </c>
      <c r="K11" s="1248" t="s">
        <v>88</v>
      </c>
      <c r="L11" s="1248"/>
      <c r="M11" s="1248" t="s">
        <v>89</v>
      </c>
      <c r="N11" s="1248" t="s">
        <v>126</v>
      </c>
      <c r="O11" s="1248" t="s">
        <v>131</v>
      </c>
      <c r="P11" s="1248" t="s">
        <v>136</v>
      </c>
      <c r="Q11" s="1248" t="s">
        <v>141</v>
      </c>
      <c r="R11" s="1248" t="s">
        <v>147</v>
      </c>
      <c r="S11" s="1248" t="s">
        <v>151</v>
      </c>
      <c r="U11" s="833"/>
      <c r="V11" s="833"/>
      <c r="W11" s="833"/>
    </row>
    <row s="21835" customFormat="1" customHeight="1" ht="0.75">
      <c r="A12" s="837"/>
      <c r="B12" s="584"/>
      <c r="D12" s="770"/>
      <c r="E12" s="568"/>
      <c r="F12" s="568"/>
      <c r="Q12" s="838"/>
      <c r="R12" s="839"/>
      <c r="T12" s="840"/>
      <c r="U12" s="841"/>
      <c r="V12" s="841"/>
      <c r="W12" s="842"/>
      <c r="X12" s="584"/>
      <c r="Y12" s="584"/>
      <c r="Z12" s="584"/>
      <c r="AA12" s="584"/>
    </row>
    <row s="16382" customFormat="1" customHeight="1" ht="0.75">
      <c r="A13" s="843"/>
      <c r="B13" s="788"/>
      <c r="D13" s="770" t="s">
        <v>482</v>
      </c>
      <c r="E13" s="782"/>
      <c r="F13" s="782"/>
      <c r="G13" s="782"/>
      <c r="H13" s="782"/>
      <c r="I13" s="782"/>
      <c r="J13" s="782"/>
      <c r="K13" s="782"/>
      <c r="L13" s="782"/>
      <c r="M13" s="782"/>
      <c r="N13" s="782"/>
      <c r="O13" s="782"/>
      <c r="P13" s="782"/>
      <c r="Q13" s="782"/>
      <c r="R13" s="782"/>
      <c r="T13" s="556"/>
      <c r="U13" s="833"/>
      <c r="V13" s="833"/>
      <c r="W13" s="844"/>
      <c r="X13" s="788"/>
      <c r="Y13" s="788"/>
      <c r="Z13" s="788"/>
      <c r="AA13" s="788"/>
    </row>
    <row s="16253" customFormat="1" customHeight="1" ht="15" hidden="1">
      <c r="A14" s="845" t="s">
        <v>173</v>
      </c>
      <c r="B14" s="846"/>
      <c r="C14" s="846"/>
      <c r="D14" s="2501" t="s">
        <v>168</v>
      </c>
      <c r="E14" s="2509" t="s">
        <v>164</v>
      </c>
      <c r="F14" s="2510"/>
      <c r="G14" s="2511"/>
      <c r="H14" s="2504">
        <f>IF(A14="","",INDEX(DIFFERENTIATION_UNMERGE_VD,MATCH(A14,DIFFERENTIATION_ID_DIFF,0)))</f>
        <v>0</v>
      </c>
      <c r="I14" s="2504"/>
      <c r="J14" s="2504"/>
      <c r="K14" s="2504"/>
      <c r="L14" s="2504"/>
      <c r="M14" s="2504"/>
      <c r="N14" s="2504"/>
      <c r="O14" s="2504"/>
      <c r="P14" s="2504"/>
      <c r="Q14" s="2504"/>
      <c r="R14" s="2504"/>
      <c r="S14" s="941"/>
      <c r="T14" s="938"/>
      <c r="U14" s="847"/>
      <c r="V14" s="847"/>
      <c r="W14" s="848"/>
      <c r="X14" s="848"/>
      <c r="Y14" s="848"/>
      <c r="Z14" s="848"/>
      <c r="AA14" s="849"/>
      <c r="AB14" s="850"/>
      <c r="AC14" s="2508"/>
      <c r="AD14" s="851"/>
      <c r="AE14" s="852" t="s">
        <v>24</v>
      </c>
      <c r="AF14" s="852"/>
      <c r="AG14" s="853" t="s">
        <v>715</v>
      </c>
      <c r="AH14" s="854">
        <v>3</v>
      </c>
      <c r="AI14" s="847"/>
      <c r="AJ14" s="847"/>
      <c r="AK14" s="847"/>
      <c r="AL14" s="847"/>
      <c r="AM14" s="847"/>
      <c r="AN14" s="847"/>
      <c r="AO14" s="847"/>
      <c r="AP14" s="847"/>
      <c r="AQ14" s="847"/>
      <c r="AR14" s="847"/>
      <c r="AS14" s="847"/>
      <c r="AT14" s="847"/>
      <c r="AU14" s="847"/>
      <c r="AV14" s="847"/>
      <c r="AW14" s="847"/>
      <c r="AX14" s="847"/>
      <c r="AY14" s="847"/>
      <c r="AZ14" s="847"/>
      <c r="BA14" s="847"/>
      <c r="BB14" s="847"/>
      <c r="BC14" s="847"/>
      <c r="BD14" s="847"/>
      <c r="BE14" s="847"/>
      <c r="BF14" s="847"/>
      <c r="BG14" s="847"/>
      <c r="BH14" s="847"/>
      <c r="BI14" s="847"/>
      <c r="BJ14" s="847"/>
      <c r="BK14" s="847"/>
      <c r="BL14" s="847"/>
      <c r="BM14" s="847"/>
      <c r="BN14" s="847"/>
      <c r="BO14" s="847"/>
      <c r="BP14" s="847"/>
      <c r="BQ14" s="847"/>
      <c r="BR14" s="847"/>
      <c r="BS14" s="847"/>
      <c r="BT14" s="847"/>
      <c r="BU14" s="847"/>
      <c r="BV14" s="848"/>
      <c r="BW14" s="848"/>
      <c r="BX14" s="848"/>
      <c r="BY14" s="848"/>
      <c r="BZ14" s="848"/>
      <c r="CA14" s="848"/>
      <c r="CB14" s="848"/>
      <c r="CC14" s="848"/>
      <c r="CD14" s="848"/>
      <c r="CE14" s="848"/>
    </row>
    <row s="16253" customFormat="1" customHeight="1" ht="15" hidden="1">
      <c r="A15" s="845"/>
      <c r="B15" s="846"/>
      <c r="C15" s="846"/>
      <c r="D15" s="2502"/>
      <c r="E15" s="2509" t="s">
        <v>670</v>
      </c>
      <c r="F15" s="2510"/>
      <c r="G15" s="2511"/>
      <c r="H15" s="2504" t="str">
        <f>IF(A14="","",INDEX(DIFFERENTIATION_UNMERGE_AREA,MATCH(A14,DIFFERENTIATION_ID_DIFF,0)))</f>
        <v/>
      </c>
      <c r="I15" s="2504"/>
      <c r="J15" s="2504"/>
      <c r="K15" s="2504"/>
      <c r="L15" s="2504"/>
      <c r="M15" s="2504"/>
      <c r="N15" s="2504"/>
      <c r="O15" s="2504"/>
      <c r="P15" s="2504"/>
      <c r="Q15" s="2504"/>
      <c r="R15" s="2504"/>
      <c r="S15" s="941"/>
      <c r="T15" s="938"/>
      <c r="U15" s="847"/>
      <c r="V15" s="847"/>
      <c r="W15" s="848"/>
      <c r="X15" s="848"/>
      <c r="Y15" s="848"/>
      <c r="Z15" s="848"/>
      <c r="AA15" s="849"/>
      <c r="AB15" s="850"/>
      <c r="AC15" s="2508"/>
      <c r="AD15" s="851"/>
      <c r="AE15" s="852"/>
      <c r="AF15" s="852"/>
      <c r="AG15" s="853"/>
      <c r="AH15" s="854"/>
      <c r="AI15" s="847"/>
      <c r="AJ15" s="847"/>
      <c r="AK15" s="847"/>
      <c r="AL15" s="847"/>
      <c r="AM15" s="847"/>
      <c r="AN15" s="847"/>
      <c r="AO15" s="847"/>
      <c r="AP15" s="847"/>
      <c r="AQ15" s="847"/>
      <c r="AR15" s="847"/>
      <c r="AS15" s="847"/>
      <c r="AT15" s="847"/>
      <c r="AU15" s="847"/>
      <c r="AV15" s="847"/>
      <c r="AW15" s="847"/>
      <c r="AX15" s="847"/>
      <c r="AY15" s="847"/>
      <c r="AZ15" s="847"/>
      <c r="BA15" s="847"/>
      <c r="BB15" s="847"/>
      <c r="BC15" s="847"/>
      <c r="BD15" s="847"/>
      <c r="BE15" s="847"/>
      <c r="BF15" s="847"/>
      <c r="BG15" s="847"/>
      <c r="BH15" s="847"/>
      <c r="BI15" s="847"/>
      <c r="BJ15" s="847"/>
      <c r="BK15" s="847"/>
      <c r="BL15" s="847"/>
      <c r="BM15" s="847"/>
      <c r="BN15" s="847"/>
      <c r="BO15" s="847"/>
      <c r="BP15" s="847"/>
      <c r="BQ15" s="847"/>
      <c r="BR15" s="847"/>
      <c r="BS15" s="847"/>
      <c r="BT15" s="847"/>
      <c r="BU15" s="847"/>
      <c r="BV15" s="848"/>
      <c r="BW15" s="848"/>
      <c r="BX15" s="848"/>
      <c r="BY15" s="848"/>
      <c r="BZ15" s="848"/>
      <c r="CA15" s="848"/>
      <c r="CB15" s="848"/>
      <c r="CC15" s="848"/>
      <c r="CD15" s="848"/>
      <c r="CE15" s="848"/>
    </row>
    <row s="16253" customFormat="1" customHeight="1" ht="15" hidden="1">
      <c r="A16" s="845"/>
      <c r="B16" s="846"/>
      <c r="C16" s="846"/>
      <c r="D16" s="2502"/>
      <c r="E16" s="2509" t="s">
        <v>671</v>
      </c>
      <c r="F16" s="2510"/>
      <c r="G16" s="2511"/>
      <c r="H16" s="2504" t="str">
        <f>IF(A14="","",INDEX(DIFFERENTIATION_UNMERGE_SYSTEM,MATCH(A14,DIFFERENTIATION_ID_DIFF,0)))</f>
        <v>без дифференциации</v>
      </c>
      <c r="I16" s="2504"/>
      <c r="J16" s="2504"/>
      <c r="K16" s="2504"/>
      <c r="L16" s="2504"/>
      <c r="M16" s="2504"/>
      <c r="N16" s="2504"/>
      <c r="O16" s="2504"/>
      <c r="P16" s="2504"/>
      <c r="Q16" s="2504"/>
      <c r="R16" s="2504"/>
      <c r="S16" s="941"/>
      <c r="T16" s="938"/>
      <c r="U16" s="847"/>
      <c r="V16" s="847"/>
      <c r="W16" s="848"/>
      <c r="X16" s="848"/>
      <c r="Y16" s="848"/>
      <c r="Z16" s="848"/>
      <c r="AA16" s="849"/>
      <c r="AB16" s="850"/>
      <c r="AC16" s="2508"/>
      <c r="AD16" s="851"/>
      <c r="AE16" s="852"/>
      <c r="AF16" s="852"/>
      <c r="AG16" s="853"/>
      <c r="AH16" s="854"/>
      <c r="AI16" s="847"/>
      <c r="AJ16" s="847"/>
      <c r="AK16" s="847"/>
      <c r="AL16" s="847"/>
      <c r="AM16" s="847"/>
      <c r="AN16" s="847"/>
      <c r="AO16" s="847"/>
      <c r="AP16" s="847"/>
      <c r="AQ16" s="847"/>
      <c r="AR16" s="847"/>
      <c r="AS16" s="847"/>
      <c r="AT16" s="847"/>
      <c r="AU16" s="847"/>
      <c r="AV16" s="847"/>
      <c r="AW16" s="847"/>
      <c r="AX16" s="847"/>
      <c r="AY16" s="847"/>
      <c r="AZ16" s="847"/>
      <c r="BA16" s="847"/>
      <c r="BB16" s="847"/>
      <c r="BC16" s="847"/>
      <c r="BD16" s="847"/>
      <c r="BE16" s="847"/>
      <c r="BF16" s="847"/>
      <c r="BG16" s="847"/>
      <c r="BH16" s="847"/>
      <c r="BI16" s="847"/>
      <c r="BJ16" s="847"/>
      <c r="BK16" s="847"/>
      <c r="BL16" s="847"/>
      <c r="BM16" s="847"/>
      <c r="BN16" s="847"/>
      <c r="BO16" s="847"/>
      <c r="BP16" s="847"/>
      <c r="BQ16" s="847"/>
      <c r="BR16" s="847"/>
      <c r="BS16" s="847"/>
      <c r="BT16" s="847"/>
      <c r="BU16" s="847"/>
      <c r="BV16" s="848"/>
      <c r="BW16" s="848"/>
      <c r="BX16" s="848"/>
      <c r="BY16" s="848"/>
      <c r="BZ16" s="848"/>
      <c r="CA16" s="848"/>
      <c r="CB16" s="848"/>
      <c r="CC16" s="848"/>
      <c r="CD16" s="848"/>
      <c r="CE16" s="848"/>
    </row>
    <row s="16253" customFormat="1" customHeight="1" ht="22.5" hidden="1">
      <c r="A17" s="855"/>
      <c r="B17" s="639"/>
      <c r="C17" s="634"/>
      <c r="D17" s="2502"/>
      <c r="E17" s="2506" t="s">
        <v>716</v>
      </c>
      <c r="F17" s="2506"/>
      <c r="G17" s="2506"/>
      <c r="H17" s="2506"/>
      <c r="I17" s="2506"/>
      <c r="J17" s="2506"/>
      <c r="K17" s="2506"/>
      <c r="L17" s="2506"/>
      <c r="M17" s="2506"/>
      <c r="N17" s="2506"/>
      <c r="O17" s="2506"/>
      <c r="P17" s="2506"/>
      <c r="Q17" s="780">
        <f>SUMIF(T18:T19,"i",Q18:Q19)</f>
        <v>0</v>
      </c>
      <c r="R17" s="1240"/>
      <c r="S17" s="1119" t="s">
        <v>717</v>
      </c>
      <c r="T17" s="939" t="s">
        <v>718</v>
      </c>
      <c r="U17" s="2507">
        <v>1</v>
      </c>
      <c r="V17" s="2507" t="str">
        <f>INDEX(B_FHD_FLAG_INDEX_1,1,MATCH(A14,B_FHD_FLAG_DIFFERENTIATION,0))</f>
        <v>отсутствует</v>
      </c>
      <c r="W17" s="639"/>
      <c r="X17" s="639"/>
      <c r="Y17" s="639"/>
      <c r="Z17" s="639"/>
      <c r="AA17" s="733"/>
      <c r="AB17" s="639"/>
      <c r="AC17" s="2508"/>
      <c r="AD17" s="851"/>
      <c r="AE17" s="639"/>
      <c r="AF17" s="639"/>
      <c r="AG17" s="733"/>
      <c r="AH17" s="733"/>
      <c r="AI17" s="733"/>
      <c r="AJ17" s="733"/>
      <c r="AK17" s="733"/>
      <c r="AL17" s="733"/>
      <c r="AM17" s="733"/>
      <c r="AN17" s="733"/>
      <c r="AO17" s="733"/>
      <c r="AP17" s="733"/>
      <c r="AQ17" s="733"/>
      <c r="AR17" s="733"/>
      <c r="AS17" s="733"/>
      <c r="AT17" s="733"/>
      <c r="AU17" s="733"/>
      <c r="AV17" s="733"/>
      <c r="AW17" s="733"/>
      <c r="AX17" s="733"/>
      <c r="AY17" s="733"/>
      <c r="AZ17" s="733"/>
      <c r="BA17" s="733"/>
      <c r="BB17" s="733"/>
      <c r="BC17" s="733"/>
      <c r="BD17" s="733"/>
      <c r="BE17" s="733"/>
      <c r="BF17" s="733"/>
      <c r="BG17" s="733"/>
      <c r="BH17" s="733"/>
      <c r="BI17" s="733"/>
      <c r="BJ17" s="733"/>
      <c r="BK17" s="733"/>
      <c r="BL17" s="733"/>
      <c r="BM17" s="733"/>
      <c r="BN17" s="733"/>
      <c r="BO17" s="733"/>
      <c r="BP17" s="733"/>
      <c r="BQ17" s="733"/>
      <c r="BR17" s="733"/>
      <c r="BS17" s="733"/>
      <c r="BT17" s="733"/>
      <c r="BU17" s="733"/>
      <c r="BV17" s="639"/>
      <c r="BW17" s="639"/>
      <c r="BX17" s="639"/>
      <c r="BY17" s="639"/>
      <c r="BZ17" s="639"/>
      <c r="CA17" s="639"/>
      <c r="CB17" s="639"/>
      <c r="CC17" s="639"/>
      <c r="CD17" s="639"/>
      <c r="CE17" s="639"/>
    </row>
    <row s="16253" customFormat="1" customHeight="1" ht="11.25" hidden="1">
      <c r="A18" s="856"/>
      <c r="B18" s="733"/>
      <c r="C18" s="733"/>
      <c r="D18" s="2502"/>
      <c r="E18" s="857"/>
      <c r="F18" s="857">
        <v>0</v>
      </c>
      <c r="G18" s="857"/>
      <c r="H18" s="857"/>
      <c r="I18" s="857"/>
      <c r="J18" s="857"/>
      <c r="K18" s="857"/>
      <c r="L18" s="857"/>
      <c r="M18" s="857"/>
      <c r="N18" s="857"/>
      <c r="O18" s="857"/>
      <c r="P18" s="857"/>
      <c r="Q18" s="857"/>
      <c r="R18" s="857"/>
      <c r="S18" s="858"/>
      <c r="T18" s="940"/>
      <c r="U18" s="2507"/>
      <c r="V18" s="2507"/>
      <c r="W18" s="733"/>
      <c r="X18" s="733"/>
      <c r="Y18" s="733"/>
      <c r="Z18" s="733"/>
      <c r="AA18" s="733"/>
      <c r="AB18" s="639"/>
      <c r="AC18" s="2508"/>
      <c r="AD18" s="851"/>
      <c r="AE18" s="639"/>
      <c r="AF18" s="639"/>
      <c r="AG18" s="733"/>
      <c r="AH18" s="733"/>
      <c r="AI18" s="733"/>
      <c r="AJ18" s="733"/>
      <c r="AK18" s="733"/>
      <c r="AL18" s="733"/>
      <c r="AM18" s="733"/>
      <c r="AN18" s="733"/>
      <c r="AO18" s="733"/>
      <c r="AP18" s="733"/>
      <c r="AQ18" s="733"/>
      <c r="AR18" s="733"/>
      <c r="AS18" s="733"/>
      <c r="AT18" s="733"/>
      <c r="AU18" s="733"/>
      <c r="AV18" s="733"/>
      <c r="AW18" s="733"/>
      <c r="AX18" s="733"/>
      <c r="AY18" s="733"/>
      <c r="AZ18" s="733"/>
      <c r="BA18" s="733"/>
      <c r="BB18" s="733"/>
      <c r="BC18" s="733"/>
      <c r="BD18" s="733"/>
      <c r="BE18" s="733"/>
      <c r="BF18" s="733"/>
      <c r="BG18" s="733"/>
      <c r="BH18" s="733"/>
      <c r="BI18" s="733"/>
      <c r="BJ18" s="733"/>
      <c r="BK18" s="733"/>
      <c r="BL18" s="733"/>
      <c r="BM18" s="733"/>
      <c r="BN18" s="733"/>
      <c r="BO18" s="733"/>
      <c r="BP18" s="733"/>
      <c r="BQ18" s="733"/>
      <c r="BR18" s="733"/>
      <c r="BS18" s="733"/>
      <c r="BT18" s="733"/>
      <c r="BU18" s="733"/>
      <c r="BV18" s="733"/>
      <c r="BW18" s="733"/>
      <c r="BX18" s="733"/>
      <c r="BY18" s="733"/>
      <c r="BZ18" s="733"/>
      <c r="CA18" s="733"/>
      <c r="CB18" s="733"/>
      <c r="CC18" s="733"/>
      <c r="CD18" s="733"/>
      <c r="CE18" s="733"/>
    </row>
    <row s="16253" customFormat="1" customHeight="1" ht="11.25" hidden="1">
      <c r="A19" s="855"/>
      <c r="B19" s="639"/>
      <c r="C19" s="634"/>
      <c r="D19" s="2502"/>
      <c r="E19" s="871" t="s">
        <v>24</v>
      </c>
      <c r="F19" s="872" t="s">
        <v>24</v>
      </c>
      <c r="G19" s="872" t="s">
        <v>24</v>
      </c>
      <c r="H19" s="873" t="s">
        <v>24</v>
      </c>
      <c r="I19" s="873"/>
      <c r="J19" s="873"/>
      <c r="K19" s="873"/>
      <c r="L19" s="873"/>
      <c r="M19" s="873"/>
      <c r="N19" s="873"/>
      <c r="O19" s="873"/>
      <c r="P19" s="873"/>
      <c r="Q19" s="873"/>
      <c r="R19" s="874"/>
      <c r="S19" s="1243"/>
      <c r="T19" s="940"/>
      <c r="U19" s="2507"/>
      <c r="V19" s="2507"/>
      <c r="W19" s="639"/>
      <c r="X19" s="639"/>
      <c r="Y19" s="639"/>
      <c r="Z19" s="639"/>
      <c r="AA19" s="733"/>
      <c r="AB19" s="639"/>
      <c r="AC19" s="2508"/>
      <c r="AD19" s="851"/>
      <c r="AE19" s="639"/>
      <c r="AF19" s="639"/>
      <c r="AG19" s="733"/>
      <c r="AH19" s="733"/>
      <c r="AI19" s="733"/>
      <c r="AJ19" s="733"/>
      <c r="AK19" s="733"/>
      <c r="AL19" s="733"/>
      <c r="AM19" s="733"/>
      <c r="AN19" s="733"/>
      <c r="AO19" s="733"/>
      <c r="AP19" s="733"/>
      <c r="AQ19" s="733"/>
      <c r="AR19" s="733"/>
      <c r="AS19" s="733"/>
      <c r="AT19" s="733"/>
      <c r="AU19" s="733"/>
      <c r="AV19" s="733"/>
      <c r="AW19" s="733"/>
      <c r="AX19" s="733"/>
      <c r="AY19" s="733"/>
      <c r="AZ19" s="733"/>
      <c r="BA19" s="733"/>
      <c r="BB19" s="733"/>
      <c r="BC19" s="733"/>
      <c r="BD19" s="733"/>
      <c r="BE19" s="733"/>
      <c r="BF19" s="733"/>
      <c r="BG19" s="733"/>
      <c r="BH19" s="733"/>
      <c r="BI19" s="733"/>
      <c r="BJ19" s="733"/>
      <c r="BK19" s="733"/>
      <c r="BL19" s="733"/>
      <c r="BM19" s="733"/>
      <c r="BN19" s="733"/>
      <c r="BO19" s="733"/>
      <c r="BP19" s="733"/>
      <c r="BQ19" s="733"/>
      <c r="BR19" s="733"/>
      <c r="BS19" s="733"/>
      <c r="BT19" s="733"/>
      <c r="BU19" s="733"/>
      <c r="BV19" s="639"/>
      <c r="BW19" s="639"/>
      <c r="BX19" s="639"/>
      <c r="BY19" s="639"/>
      <c r="BZ19" s="639"/>
      <c r="CA19" s="639"/>
      <c r="CB19" s="639"/>
      <c r="CC19" s="639"/>
      <c r="CD19" s="639"/>
      <c r="CE19" s="639"/>
    </row>
    <row s="16253" customFormat="1" customHeight="1" ht="22.5" hidden="1">
      <c r="A20" s="855"/>
      <c r="B20" s="639"/>
      <c r="C20" s="634"/>
      <c r="D20" s="2502"/>
      <c r="E20" s="2506" t="s">
        <v>719</v>
      </c>
      <c r="F20" s="2506"/>
      <c r="G20" s="2506"/>
      <c r="H20" s="2506"/>
      <c r="I20" s="2506"/>
      <c r="J20" s="2506"/>
      <c r="K20" s="2506"/>
      <c r="L20" s="2506"/>
      <c r="M20" s="2506"/>
      <c r="N20" s="2506"/>
      <c r="O20" s="2506"/>
      <c r="P20" s="2506"/>
      <c r="Q20" s="780">
        <f>SUMIF(T21:T22,"i",Q21:Q22)</f>
        <v>0</v>
      </c>
      <c r="R20" s="1240"/>
      <c r="S20" s="931" t="s">
        <v>720</v>
      </c>
      <c r="T20" s="939" t="s">
        <v>718</v>
      </c>
      <c r="U20" s="2507">
        <v>2</v>
      </c>
      <c r="V20" s="2507" t="str">
        <f>INDEX(B_FHD_FLAG_INDEX_2,1,MATCH(A14,B_FHD_FLAG_DIFFERENTIATION,0))</f>
        <v>отсутствует</v>
      </c>
      <c r="W20" s="639"/>
      <c r="X20" s="639"/>
      <c r="Y20" s="639"/>
      <c r="Z20" s="639"/>
      <c r="AA20" s="733"/>
      <c r="AB20" s="639"/>
      <c r="AC20" s="928"/>
      <c r="AD20" s="851"/>
      <c r="AE20" s="639"/>
      <c r="AF20" s="639"/>
      <c r="AG20" s="733"/>
      <c r="AH20" s="733"/>
      <c r="AI20" s="733"/>
      <c r="AJ20" s="733"/>
      <c r="AK20" s="733"/>
      <c r="AL20" s="733"/>
      <c r="AM20" s="733"/>
      <c r="AN20" s="733"/>
      <c r="AO20" s="733"/>
      <c r="AP20" s="733"/>
      <c r="AQ20" s="733"/>
      <c r="AR20" s="733"/>
      <c r="AS20" s="733"/>
      <c r="AT20" s="733"/>
      <c r="AU20" s="733"/>
      <c r="AV20" s="733"/>
      <c r="AW20" s="733"/>
      <c r="AX20" s="733"/>
      <c r="AY20" s="733"/>
      <c r="AZ20" s="733"/>
      <c r="BA20" s="733"/>
      <c r="BB20" s="733"/>
      <c r="BC20" s="733"/>
      <c r="BD20" s="733"/>
      <c r="BE20" s="733"/>
      <c r="BF20" s="733"/>
      <c r="BG20" s="733"/>
      <c r="BH20" s="733"/>
      <c r="BI20" s="733"/>
      <c r="BJ20" s="733"/>
      <c r="BK20" s="733"/>
      <c r="BL20" s="733"/>
      <c r="BM20" s="733"/>
      <c r="BN20" s="733"/>
      <c r="BO20" s="733"/>
      <c r="BP20" s="733"/>
      <c r="BQ20" s="733"/>
      <c r="BR20" s="733"/>
      <c r="BS20" s="733"/>
      <c r="BT20" s="733"/>
      <c r="BU20" s="733"/>
      <c r="BV20" s="639"/>
      <c r="BW20" s="639"/>
      <c r="BX20" s="639"/>
      <c r="BY20" s="639"/>
      <c r="BZ20" s="639"/>
      <c r="CA20" s="639"/>
      <c r="CB20" s="639"/>
      <c r="CC20" s="639"/>
      <c r="CD20" s="639"/>
      <c r="CE20" s="639"/>
    </row>
    <row s="16253" customFormat="1" customHeight="1" ht="11.25" hidden="1">
      <c r="A21" s="930"/>
      <c r="B21" s="733"/>
      <c r="C21" s="733"/>
      <c r="D21" s="2502"/>
      <c r="E21" s="857"/>
      <c r="F21" s="857">
        <v>0</v>
      </c>
      <c r="G21" s="857"/>
      <c r="H21" s="857"/>
      <c r="I21" s="857"/>
      <c r="J21" s="857"/>
      <c r="K21" s="857"/>
      <c r="L21" s="857"/>
      <c r="M21" s="857"/>
      <c r="N21" s="857"/>
      <c r="O21" s="857"/>
      <c r="P21" s="857"/>
      <c r="Q21" s="857"/>
      <c r="R21" s="857"/>
      <c r="S21" s="858"/>
      <c r="T21" s="940"/>
      <c r="U21" s="2507"/>
      <c r="V21" s="2507"/>
      <c r="W21" s="733"/>
      <c r="X21" s="733"/>
      <c r="Y21" s="733"/>
      <c r="Z21" s="733"/>
      <c r="AA21" s="733"/>
      <c r="AB21" s="639"/>
      <c r="AC21" s="928"/>
      <c r="AD21" s="851"/>
      <c r="AE21" s="639"/>
      <c r="AF21" s="639"/>
      <c r="AG21" s="733"/>
      <c r="AH21" s="733"/>
      <c r="AI21" s="733"/>
      <c r="AJ21" s="733"/>
      <c r="AK21" s="733"/>
      <c r="AL21" s="733"/>
      <c r="AM21" s="733"/>
      <c r="AN21" s="733"/>
      <c r="AO21" s="733"/>
      <c r="AP21" s="733"/>
      <c r="AQ21" s="733"/>
      <c r="AR21" s="733"/>
      <c r="AS21" s="733"/>
      <c r="AT21" s="733"/>
      <c r="AU21" s="733"/>
      <c r="AV21" s="733"/>
      <c r="AW21" s="733"/>
      <c r="AX21" s="733"/>
      <c r="AY21" s="733"/>
      <c r="AZ21" s="733"/>
      <c r="BA21" s="733"/>
      <c r="BB21" s="733"/>
      <c r="BC21" s="733"/>
      <c r="BD21" s="733"/>
      <c r="BE21" s="733"/>
      <c r="BF21" s="733"/>
      <c r="BG21" s="733"/>
      <c r="BH21" s="733"/>
      <c r="BI21" s="733"/>
      <c r="BJ21" s="733"/>
      <c r="BK21" s="733"/>
      <c r="BL21" s="733"/>
      <c r="BM21" s="733"/>
      <c r="BN21" s="733"/>
      <c r="BO21" s="733"/>
      <c r="BP21" s="733"/>
      <c r="BQ21" s="733"/>
      <c r="BR21" s="733"/>
      <c r="BS21" s="733"/>
      <c r="BT21" s="733"/>
      <c r="BU21" s="733"/>
      <c r="BV21" s="733"/>
      <c r="BW21" s="733"/>
      <c r="BX21" s="733"/>
      <c r="BY21" s="733"/>
      <c r="BZ21" s="733"/>
      <c r="CA21" s="733"/>
      <c r="CB21" s="733"/>
      <c r="CC21" s="733"/>
      <c r="CD21" s="733"/>
      <c r="CE21" s="733"/>
    </row>
    <row s="16253" customFormat="1" customHeight="1" ht="11.25" hidden="1">
      <c r="A22" s="855"/>
      <c r="B22" s="639"/>
      <c r="C22" s="634"/>
      <c r="D22" s="2503"/>
      <c r="E22" s="871" t="s">
        <v>24</v>
      </c>
      <c r="F22" s="872" t="s">
        <v>24</v>
      </c>
      <c r="G22" s="872" t="s">
        <v>24</v>
      </c>
      <c r="H22" s="873" t="s">
        <v>24</v>
      </c>
      <c r="I22" s="873"/>
      <c r="J22" s="873"/>
      <c r="K22" s="873"/>
      <c r="L22" s="873"/>
      <c r="M22" s="873"/>
      <c r="N22" s="873"/>
      <c r="O22" s="873"/>
      <c r="P22" s="873"/>
      <c r="Q22" s="873"/>
      <c r="R22" s="874"/>
      <c r="S22" s="1243"/>
      <c r="T22" s="940"/>
      <c r="U22" s="2507"/>
      <c r="V22" s="2507"/>
      <c r="W22" s="639"/>
      <c r="X22" s="639"/>
      <c r="Y22" s="639"/>
      <c r="Z22" s="639"/>
      <c r="AA22" s="733"/>
      <c r="AB22" s="639"/>
      <c r="AC22" s="928"/>
      <c r="AD22" s="851"/>
      <c r="AE22" s="639"/>
      <c r="AF22" s="639"/>
      <c r="AG22" s="733"/>
      <c r="AH22" s="733"/>
      <c r="AI22" s="733"/>
      <c r="AJ22" s="733"/>
      <c r="AK22" s="733"/>
      <c r="AL22" s="733"/>
      <c r="AM22" s="733"/>
      <c r="AN22" s="733"/>
      <c r="AO22" s="733"/>
      <c r="AP22" s="733"/>
      <c r="AQ22" s="733"/>
      <c r="AR22" s="733"/>
      <c r="AS22" s="733"/>
      <c r="AT22" s="733"/>
      <c r="AU22" s="733"/>
      <c r="AV22" s="733"/>
      <c r="AW22" s="733"/>
      <c r="AX22" s="733"/>
      <c r="AY22" s="733"/>
      <c r="AZ22" s="733"/>
      <c r="BA22" s="733"/>
      <c r="BB22" s="733"/>
      <c r="BC22" s="733"/>
      <c r="BD22" s="733"/>
      <c r="BE22" s="733"/>
      <c r="BF22" s="733"/>
      <c r="BG22" s="733"/>
      <c r="BH22" s="733"/>
      <c r="BI22" s="733"/>
      <c r="BJ22" s="733"/>
      <c r="BK22" s="733"/>
      <c r="BL22" s="733"/>
      <c r="BM22" s="733"/>
      <c r="BN22" s="733"/>
      <c r="BO22" s="733"/>
      <c r="BP22" s="733"/>
      <c r="BQ22" s="733"/>
      <c r="BR22" s="733"/>
      <c r="BS22" s="733"/>
      <c r="BT22" s="733"/>
      <c r="BU22" s="733"/>
      <c r="BV22" s="639"/>
      <c r="BW22" s="639"/>
      <c r="BX22" s="639"/>
      <c r="BY22" s="639"/>
      <c r="BZ22" s="639"/>
      <c r="CA22" s="639"/>
      <c r="CB22" s="639"/>
      <c r="CC22" s="639"/>
      <c r="CD22" s="639"/>
      <c r="CE22" s="639"/>
    </row>
    <row customHeight="1" ht="18.75">
      <c r="D23" s="1270"/>
      <c r="E23" s="1270"/>
      <c r="F23" s="1270"/>
      <c r="G23" s="1270"/>
      <c r="H23" s="1270"/>
      <c r="I23" s="1270"/>
      <c r="J23" s="1270"/>
      <c r="K23" s="1270"/>
      <c r="L23" s="1270"/>
      <c r="M23" s="1270"/>
      <c r="N23" s="1270"/>
      <c r="O23" s="1270"/>
      <c r="P23" s="1270"/>
      <c r="Q23" s="1270"/>
      <c r="R23" s="1270"/>
      <c r="S23" s="1270"/>
      <c r="T23" s="556"/>
    </row>
    <row customHeight="1" ht="11.25">
      <c r="D24" s="731"/>
    </row>
    <row customHeight="1" ht="11.25">
      <c r="D25" s="876"/>
      <c r="E25" s="876"/>
      <c r="F25" s="876"/>
      <c r="G25" s="877"/>
    </row>
    <row r="27" customHeight="1" ht="11.25">
      <c r="D27" s="878"/>
      <c r="E27" s="2505"/>
      <c r="F27" s="2505"/>
      <c r="G27" s="2505"/>
      <c r="H27" s="2505"/>
      <c r="I27" s="2505"/>
      <c r="J27" s="2505"/>
      <c r="K27" s="2505"/>
      <c r="L27" s="2505"/>
      <c r="M27" s="2505"/>
      <c r="N27" s="2505"/>
      <c r="O27" s="2505"/>
      <c r="P27" s="2505"/>
      <c r="Q27" s="2505"/>
      <c r="R27" s="2505"/>
    </row>
    <row customHeight="1" ht="11.25">
      <c r="F28" s="980"/>
      <c r="G28" s="980"/>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CB6AB7-3F62-A76C-079B-1581116EE5DF}"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21816" width="10.7109375" hidden="1" customWidth="1"/>
    <col min="2" max="2" style="16550" width="16.8515625" hidden="1" customWidth="1"/>
    <col min="3" max="3" style="16674" width="5.57421875" hidden="1" customWidth="1"/>
    <col min="4" max="4" style="21817" width="3.7109375" customWidth="1"/>
    <col min="5" max="5" style="16676" width="7.7109375" customWidth="1"/>
    <col min="6" max="6" style="16676" width="56.140625" customWidth="1"/>
    <col min="7" max="7" style="16676" width="10.421875" customWidth="1"/>
    <col min="8" max="8" style="16676" width="40.7109375" hidden="1" customWidth="1"/>
    <col min="9" max="9" style="16676" width="40.7109375" customWidth="1"/>
    <col min="10" max="10" style="16676" width="102.8515625" customWidth="1"/>
    <col min="11" max="11" style="16550" width="9.7109375" customWidth="1"/>
    <col min="12" max="12" style="16674" width="5.28125" customWidth="1"/>
    <col min="13" max="13" style="16674" width="3.7109375" customWidth="1"/>
    <col min="14" max="17" style="16550" width="3.7109375" customWidth="1"/>
    <col min="18" max="18" style="16674" width="10.57421875" customWidth="1"/>
    <col min="19" max="19" style="16550" width="34.7109375" customWidth="1"/>
    <col min="20" max="20" style="16550" width="9.421875" customWidth="1"/>
    <col min="21" max="21" style="21818" width="9.140625"/>
    <col min="22" max="26" style="16550" width="9.140625"/>
    <col min="27" max="31" style="21720" width="9.140625"/>
  </cols>
  <sheetData>
    <row s="16550" customFormat="1" customHeight="1" ht="11.25" hidden="1">
      <c r="A1" s="1210"/>
      <c r="C1" s="1863"/>
      <c r="D1" s="759"/>
      <c r="H1" s="1384">
        <v>4</v>
      </c>
      <c r="I1" s="1384">
        <v>4</v>
      </c>
      <c r="L1" s="1863"/>
      <c r="M1" s="1863"/>
      <c r="R1" s="1863"/>
    </row>
    <row s="16550" customFormat="1" customHeight="1" ht="22.5" hidden="1">
      <c r="A2" s="1210"/>
      <c r="C2" s="1863"/>
      <c r="D2" s="760"/>
      <c r="E2" s="1864"/>
      <c r="F2" s="762"/>
      <c r="G2" s="1866" t="s">
        <v>658</v>
      </c>
      <c r="H2" s="763"/>
      <c r="I2" s="763"/>
      <c r="J2" s="764" t="s">
        <v>721</v>
      </c>
      <c r="K2" s="765"/>
      <c r="L2" s="1863"/>
      <c r="M2" s="1863"/>
      <c r="R2" s="1863"/>
      <c r="U2" s="766"/>
      <c r="AA2" s="1859"/>
      <c r="AB2" s="1859"/>
      <c r="AC2" s="1859"/>
      <c r="AD2" s="1859"/>
      <c r="AE2" s="1859"/>
    </row>
    <row customHeight="1" ht="11.25" hidden="1"/>
    <row s="21720" customFormat="1" customHeight="1" ht="11.25" hidden="1">
      <c r="A4" s="1210"/>
      <c r="B4" s="1384"/>
      <c r="C4" s="1863"/>
      <c r="D4" s="584"/>
      <c r="J4" s="1859">
        <v>4</v>
      </c>
      <c r="K4" s="1384"/>
      <c r="L4" s="1863"/>
      <c r="M4" s="1863"/>
      <c r="N4" s="1384"/>
      <c r="O4" s="1384"/>
      <c r="P4" s="1384"/>
      <c r="Q4" s="1384"/>
      <c r="R4" s="1863"/>
      <c r="S4" s="1384"/>
      <c r="T4" s="1384"/>
      <c r="U4" s="766"/>
      <c r="V4" s="1384"/>
      <c r="W4" s="1384"/>
      <c r="X4" s="1384"/>
      <c r="Y4" s="1384"/>
      <c r="Z4" s="1384"/>
    </row>
    <row r="6" customHeight="1" ht="22.5">
      <c r="E6" s="2434" t="s">
        <v>722</v>
      </c>
      <c r="F6" s="2434"/>
      <c r="G6" s="2434"/>
      <c r="H6" s="2434"/>
      <c r="I6" s="2434"/>
      <c r="J6" s="778"/>
    </row>
    <row customHeight="1" ht="24">
      <c r="E7" s="2422" t="str">
        <f>IF(org=0,"Не определено",org)</f>
        <v>КГУП "Примтеплоэнерго"</v>
      </c>
      <c r="F7" s="2422"/>
      <c r="G7" s="2422"/>
      <c r="H7" s="2422"/>
      <c r="I7" s="2422"/>
    </row>
    <row customHeight="1" ht="11.25">
      <c r="E8" s="1359"/>
      <c r="F8" s="1359"/>
      <c r="G8" s="1359"/>
      <c r="H8" s="1359"/>
      <c r="I8" s="1359"/>
    </row>
    <row s="16674" customFormat="1" customHeight="1" ht="0.75">
      <c r="A9" s="1391"/>
      <c r="D9" s="1869"/>
      <c r="H9" s="1111"/>
      <c r="I9" s="1111" t="s">
        <v>173</v>
      </c>
    </row>
    <row customHeight="1" ht="11.25">
      <c r="E10" s="933"/>
      <c r="F10" s="2497" t="s">
        <v>164</v>
      </c>
      <c r="G10" s="2498"/>
      <c r="H10" s="1779" t="str">
        <f>IF(H9="","",INDEX(DIFFERENTIATION_UNMERGE_VD,MATCH(H9,DIFFERENTIATION_ID_DIFF,0)))</f>
        <v/>
      </c>
      <c r="I10" s="1779">
        <f>IF(I9="","",INDEX(DIFFERENTIATION_UNMERGE_VD,MATCH(I9,DIFFERENTIATION_ID_DIFF,0)))</f>
        <v>0</v>
      </c>
      <c r="J10" s="2253"/>
    </row>
    <row customHeight="1" ht="11.25">
      <c r="E11" s="933"/>
      <c r="F11" s="2497" t="s">
        <v>670</v>
      </c>
      <c r="G11" s="2498"/>
      <c r="H11" s="1779" t="str">
        <f>IF(H9="","",INDEX(DIFFERENTIATION_UNMERGE_AREA,MATCH(H9,DIFFERENTIATION_ID_DIFF,0)))</f>
        <v/>
      </c>
      <c r="I11" s="1779" t="str">
        <f>IF(I9="","",INDEX(DIFFERENTIATION_UNMERGE_AREA,MATCH(I9,DIFFERENTIATION_ID_DIFF,0)))</f>
        <v/>
      </c>
      <c r="J11" s="2253"/>
    </row>
    <row customHeight="1" ht="11.25" hidden="1">
      <c r="E12" s="1889"/>
      <c r="F12" s="2512" t="s">
        <v>671</v>
      </c>
      <c r="G12" s="2513"/>
      <c r="H12" s="1890" t="str">
        <f>IF(H9="","",INDEX(DIFFERENTIATION_UNMERGE_SYSTEM,MATCH(H9,DIFFERENTIATION_ID_DIFF,0)))</f>
        <v/>
      </c>
      <c r="I12" s="1890" t="str">
        <f>IF(I9="","",INDEX(DIFFERENTIATION_UNMERGE_SYSTEM,MATCH(I9,DIFFERENTIATION_ID_DIFF,0)))</f>
        <v>без дифференциации</v>
      </c>
      <c r="J12" s="2253"/>
    </row>
    <row customHeight="1" ht="11.25">
      <c r="E13" s="2499" t="s">
        <v>406</v>
      </c>
      <c r="F13" s="2500"/>
      <c r="G13" s="2500"/>
      <c r="H13" s="1778"/>
      <c r="I13" s="1778"/>
      <c r="J13" s="2253"/>
    </row>
    <row customHeight="1" ht="22.5">
      <c r="E14" s="1866" t="s">
        <v>84</v>
      </c>
      <c r="F14" s="1861" t="s">
        <v>408</v>
      </c>
      <c r="G14" s="1861" t="s">
        <v>672</v>
      </c>
      <c r="H14" s="1861" t="s">
        <v>409</v>
      </c>
      <c r="I14" s="1861" t="s">
        <v>409</v>
      </c>
      <c r="J14" s="2253"/>
    </row>
    <row customHeight="1" ht="18.75">
      <c r="D15" s="1865"/>
      <c r="E15" s="1857" t="s">
        <v>168</v>
      </c>
      <c r="F15" s="929" t="s">
        <v>723</v>
      </c>
      <c r="G15" s="1873" t="s">
        <v>658</v>
      </c>
      <c r="H15" s="779"/>
      <c r="I15" s="779"/>
      <c r="J15" s="511" t="s">
        <v>724</v>
      </c>
      <c r="K15" s="765" t="s">
        <v>725</v>
      </c>
    </row>
    <row customHeight="1" ht="33.75">
      <c r="D16" s="1865"/>
      <c r="E16" s="1857" t="s">
        <v>99</v>
      </c>
      <c r="F16" s="929" t="s">
        <v>726</v>
      </c>
      <c r="G16" s="1873" t="s">
        <v>658</v>
      </c>
      <c r="H16" s="780">
        <f>SUM(H17,H20:H32)</f>
        <v>0</v>
      </c>
      <c r="I16" s="780">
        <f>SUM(I17,I20:I32)</f>
        <v>0</v>
      </c>
      <c r="J16" s="511" t="s">
        <v>727</v>
      </c>
      <c r="K16" s="765" t="s">
        <v>725</v>
      </c>
    </row>
    <row customHeight="1" ht="18.75">
      <c r="D17" s="1865"/>
      <c r="E17" s="1891" t="s">
        <v>728</v>
      </c>
      <c r="F17" s="1177" t="s">
        <v>729</v>
      </c>
      <c r="G17" s="1870" t="s">
        <v>658</v>
      </c>
      <c r="H17" s="779"/>
      <c r="I17" s="779"/>
      <c r="J17" s="511" t="s">
        <v>730</v>
      </c>
      <c r="K17" s="765"/>
    </row>
    <row customHeight="1" ht="22.5">
      <c r="D18" s="1865"/>
      <c r="E18" s="1891" t="s">
        <v>731</v>
      </c>
      <c r="F18" s="1877" t="s">
        <v>732</v>
      </c>
      <c r="G18" s="1870" t="s">
        <v>658</v>
      </c>
      <c r="H18" s="779"/>
      <c r="I18" s="779"/>
      <c r="J18" s="511" t="s">
        <v>733</v>
      </c>
      <c r="K18" s="765"/>
    </row>
    <row customHeight="1" ht="33.75">
      <c r="D19" s="1865"/>
      <c r="E19" s="1891" t="s">
        <v>734</v>
      </c>
      <c r="F19" s="1877" t="s">
        <v>735</v>
      </c>
      <c r="G19" s="1870" t="s">
        <v>658</v>
      </c>
      <c r="H19" s="779"/>
      <c r="I19" s="779"/>
      <c r="J19" s="511"/>
      <c r="K19" s="765"/>
    </row>
    <row customHeight="1" ht="18.75">
      <c r="D20" s="1865"/>
      <c r="E20" s="1891" t="s">
        <v>413</v>
      </c>
      <c r="F20" s="1177" t="s">
        <v>736</v>
      </c>
      <c r="G20" s="1870" t="s">
        <v>658</v>
      </c>
      <c r="H20" s="779"/>
      <c r="I20" s="779"/>
      <c r="J20" s="511" t="s">
        <v>737</v>
      </c>
      <c r="K20" s="765"/>
    </row>
    <row customHeight="1" ht="18.75">
      <c r="D21" s="1865"/>
      <c r="E21" s="1891" t="s">
        <v>738</v>
      </c>
      <c r="F21" s="1877" t="s">
        <v>739</v>
      </c>
      <c r="G21" s="1870" t="s">
        <v>658</v>
      </c>
      <c r="H21" s="779"/>
      <c r="I21" s="779"/>
      <c r="J21" s="511"/>
      <c r="K21" s="765"/>
    </row>
    <row customHeight="1" ht="18.75">
      <c r="D22" s="1865"/>
      <c r="E22" s="1891" t="s">
        <v>740</v>
      </c>
      <c r="F22" s="1877" t="s">
        <v>741</v>
      </c>
      <c r="G22" s="1870" t="s">
        <v>658</v>
      </c>
      <c r="H22" s="779"/>
      <c r="I22" s="779"/>
      <c r="J22" s="511"/>
      <c r="K22" s="765"/>
    </row>
    <row customHeight="1" ht="22.5">
      <c r="D23" s="1865"/>
      <c r="E23" s="1891" t="s">
        <v>416</v>
      </c>
      <c r="F23" s="1177" t="s">
        <v>742</v>
      </c>
      <c r="G23" s="1870" t="s">
        <v>658</v>
      </c>
      <c r="H23" s="779"/>
      <c r="I23" s="779"/>
      <c r="J23" s="511" t="s">
        <v>743</v>
      </c>
      <c r="K23" s="765"/>
    </row>
    <row customHeight="1" ht="18.75">
      <c r="D24" s="1865"/>
      <c r="E24" s="1891" t="s">
        <v>744</v>
      </c>
      <c r="F24" s="1877" t="s">
        <v>745</v>
      </c>
      <c r="G24" s="1870" t="s">
        <v>658</v>
      </c>
      <c r="H24" s="779"/>
      <c r="I24" s="779"/>
      <c r="J24" s="511"/>
      <c r="K24" s="765"/>
    </row>
    <row customHeight="1" ht="33.75">
      <c r="D25" s="1865"/>
      <c r="E25" s="1891" t="s">
        <v>746</v>
      </c>
      <c r="F25" s="1877" t="s">
        <v>747</v>
      </c>
      <c r="G25" s="1870" t="s">
        <v>658</v>
      </c>
      <c r="H25" s="779"/>
      <c r="I25" s="779"/>
      <c r="J25" s="511"/>
      <c r="K25" s="765"/>
    </row>
    <row customHeight="1" ht="22.5">
      <c r="D26" s="1865"/>
      <c r="E26" s="1891" t="s">
        <v>748</v>
      </c>
      <c r="F26" s="1177" t="s">
        <v>749</v>
      </c>
      <c r="G26" s="1870" t="s">
        <v>658</v>
      </c>
      <c r="H26" s="779"/>
      <c r="I26" s="779"/>
      <c r="J26" s="511" t="s">
        <v>750</v>
      </c>
      <c r="K26" s="765"/>
    </row>
    <row customHeight="1" ht="18.75">
      <c r="D27" s="1865"/>
      <c r="E27" s="1902" t="s">
        <v>751</v>
      </c>
      <c r="F27" s="1877" t="s">
        <v>752</v>
      </c>
      <c r="G27" s="1881" t="s">
        <v>658</v>
      </c>
      <c r="H27" s="1903"/>
      <c r="I27" s="1903"/>
      <c r="J27" s="511"/>
      <c r="K27" s="765"/>
    </row>
    <row customHeight="1" ht="18.75">
      <c r="D28" s="1865"/>
      <c r="E28" s="1902" t="s">
        <v>753</v>
      </c>
      <c r="F28" s="1877" t="s">
        <v>754</v>
      </c>
      <c r="G28" s="1881" t="s">
        <v>658</v>
      </c>
      <c r="H28" s="1903"/>
      <c r="I28" s="1903"/>
      <c r="J28" s="511"/>
      <c r="K28" s="765"/>
    </row>
    <row customHeight="1" ht="18.75">
      <c r="D29" s="1865"/>
      <c r="E29" s="1902" t="s">
        <v>755</v>
      </c>
      <c r="F29" s="1177" t="s">
        <v>756</v>
      </c>
      <c r="G29" s="1881" t="s">
        <v>658</v>
      </c>
      <c r="H29" s="1903"/>
      <c r="I29" s="1903"/>
      <c r="J29" s="511"/>
      <c r="K29" s="765"/>
    </row>
    <row customHeight="1" ht="18.75">
      <c r="D30" s="1865"/>
      <c r="E30" s="1902" t="s">
        <v>757</v>
      </c>
      <c r="F30" s="1177" t="s">
        <v>758</v>
      </c>
      <c r="G30" s="1881" t="s">
        <v>658</v>
      </c>
      <c r="H30" s="1903"/>
      <c r="I30" s="1903"/>
      <c r="J30" s="511"/>
      <c r="K30" s="765"/>
    </row>
    <row customHeight="1" ht="18.75">
      <c r="D31" s="1865"/>
      <c r="E31" s="1902" t="s">
        <v>759</v>
      </c>
      <c r="F31" s="1177" t="s">
        <v>760</v>
      </c>
      <c r="G31" s="1881" t="s">
        <v>658</v>
      </c>
      <c r="H31" s="1903"/>
      <c r="I31" s="1903"/>
      <c r="J31" s="511"/>
      <c r="K31" s="765"/>
    </row>
    <row s="16550" customFormat="1" customHeight="1" ht="22.5">
      <c r="A32" s="1210"/>
      <c r="C32" s="1863"/>
      <c r="D32" s="1865"/>
      <c r="E32" s="1902" t="s">
        <v>761</v>
      </c>
      <c r="F32" s="1177" t="s">
        <v>762</v>
      </c>
      <c r="G32" s="1871" t="s">
        <v>658</v>
      </c>
      <c r="H32" s="801">
        <f>SUM(H33:H34)</f>
        <v>0</v>
      </c>
      <c r="I32" s="801">
        <f>SUM(I33:I34)</f>
        <v>0</v>
      </c>
      <c r="J32" s="511" t="s">
        <v>763</v>
      </c>
      <c r="K32" s="765"/>
      <c r="L32" s="1863"/>
      <c r="M32" s="1863"/>
      <c r="R32" s="1863"/>
      <c r="U32" s="766"/>
      <c r="AA32" s="1859"/>
      <c r="AB32" s="1859"/>
      <c r="AC32" s="1859"/>
      <c r="AD32" s="1859"/>
      <c r="AE32" s="1859"/>
    </row>
    <row s="16674" customFormat="1" customHeight="1" ht="0.75">
      <c r="A33" s="1391"/>
      <c r="D33" s="770"/>
      <c r="E33" s="1024" t="str">
        <f>E32&amp;".0"</f>
        <v>2.8.0</v>
      </c>
      <c r="F33" s="1214"/>
      <c r="G33" s="773"/>
      <c r="H33" s="1215"/>
      <c r="I33" s="1215"/>
      <c r="J33" s="1216"/>
    </row>
    <row s="16550" customFormat="1" customHeight="1" ht="18.75">
      <c r="A34" s="1210"/>
      <c r="C34" s="1863"/>
      <c r="D34" s="1860"/>
      <c r="E34" s="792"/>
      <c r="F34" s="1893" t="s">
        <v>683</v>
      </c>
      <c r="G34" s="794"/>
      <c r="H34" s="795"/>
      <c r="I34" s="795"/>
      <c r="J34" s="523" t="s">
        <v>764</v>
      </c>
      <c r="K34" s="765"/>
      <c r="L34" s="1863"/>
      <c r="M34" s="1863"/>
      <c r="R34" s="1863"/>
      <c r="U34" s="766"/>
      <c r="AA34" s="1859"/>
      <c r="AB34" s="1859"/>
      <c r="AC34" s="1859"/>
      <c r="AD34" s="1859"/>
      <c r="AE34" s="1859"/>
    </row>
    <row customHeight="1" ht="56.25">
      <c r="D35" s="1865"/>
      <c r="E35" s="1902" t="s">
        <v>765</v>
      </c>
      <c r="F35" s="1177" t="s">
        <v>766</v>
      </c>
      <c r="G35" s="1881" t="s">
        <v>658</v>
      </c>
      <c r="H35" s="1903"/>
      <c r="I35" s="1903"/>
      <c r="J35" s="511" t="s">
        <v>767</v>
      </c>
      <c r="K35" s="765"/>
    </row>
    <row s="16550" customFormat="1" customHeight="1" ht="22.5">
      <c r="A36" s="1212" t="s">
        <v>684</v>
      </c>
      <c r="C36" s="1863"/>
      <c r="D36" s="1865"/>
      <c r="E36" s="1891" t="s">
        <v>86</v>
      </c>
      <c r="F36" s="929" t="s">
        <v>768</v>
      </c>
      <c r="G36" s="1870" t="s">
        <v>658</v>
      </c>
      <c r="H36" s="779"/>
      <c r="I36" s="779"/>
      <c r="J36" s="511" t="s">
        <v>769</v>
      </c>
      <c r="K36" s="765"/>
      <c r="L36" s="1863"/>
      <c r="M36" s="1863"/>
      <c r="R36" s="1863"/>
      <c r="U36" s="766"/>
      <c r="AA36" s="1859"/>
      <c r="AB36" s="1859"/>
      <c r="AC36" s="1859"/>
      <c r="AD36" s="1859"/>
      <c r="AE36" s="1859"/>
    </row>
    <row s="16550" customFormat="1" customHeight="1" ht="22.5">
      <c r="A37" s="1212"/>
      <c r="C37" s="1863"/>
      <c r="D37" s="1865"/>
      <c r="E37" s="1891" t="s">
        <v>430</v>
      </c>
      <c r="F37" s="1177" t="s">
        <v>770</v>
      </c>
      <c r="G37" s="1881"/>
      <c r="H37" s="779"/>
      <c r="I37" s="779"/>
      <c r="J37" s="511"/>
      <c r="K37" s="765"/>
      <c r="L37" s="1863"/>
      <c r="M37" s="1863"/>
      <c r="R37" s="1863"/>
      <c r="U37" s="766"/>
      <c r="AA37" s="1859"/>
      <c r="AB37" s="1859"/>
      <c r="AC37" s="1859"/>
      <c r="AD37" s="1859"/>
      <c r="AE37" s="1859"/>
    </row>
    <row s="16550" customFormat="1" customHeight="1" ht="18.75">
      <c r="A38" s="1210"/>
      <c r="C38" s="1863"/>
      <c r="D38" s="797"/>
      <c r="E38" s="1891" t="s">
        <v>87</v>
      </c>
      <c r="F38" s="929" t="s">
        <v>771</v>
      </c>
      <c r="G38" s="1870" t="s">
        <v>658</v>
      </c>
      <c r="H38" s="779"/>
      <c r="I38" s="779"/>
      <c r="J38" s="511" t="s">
        <v>772</v>
      </c>
      <c r="K38" s="765"/>
      <c r="L38" s="1863"/>
      <c r="M38" s="1863"/>
      <c r="R38" s="1863"/>
      <c r="U38" s="766"/>
      <c r="AA38" s="1859"/>
      <c r="AB38" s="1859"/>
      <c r="AC38" s="1859"/>
      <c r="AD38" s="1859"/>
      <c r="AE38" s="1859"/>
    </row>
    <row s="16550" customFormat="1" customHeight="1" ht="22.5">
      <c r="A39" s="1210"/>
      <c r="C39" s="1863"/>
      <c r="D39" s="797"/>
      <c r="E39" s="1891" t="s">
        <v>773</v>
      </c>
      <c r="F39" s="1177" t="s">
        <v>774</v>
      </c>
      <c r="G39" s="1881" t="s">
        <v>658</v>
      </c>
      <c r="H39" s="779"/>
      <c r="I39" s="779"/>
      <c r="J39" s="511" t="s">
        <v>775</v>
      </c>
      <c r="K39" s="765"/>
      <c r="L39" s="1863"/>
      <c r="M39" s="1863"/>
      <c r="R39" s="1863"/>
      <c r="U39" s="766"/>
      <c r="AA39" s="1859"/>
      <c r="AB39" s="1859"/>
      <c r="AC39" s="1859"/>
      <c r="AD39" s="1859"/>
      <c r="AE39" s="1859"/>
    </row>
    <row s="16550" customFormat="1" customHeight="1" ht="22.5">
      <c r="A40" s="1210"/>
      <c r="C40" s="1863"/>
      <c r="D40" s="1865"/>
      <c r="E40" s="1891" t="s">
        <v>776</v>
      </c>
      <c r="F40" s="1877" t="s">
        <v>777</v>
      </c>
      <c r="G40" s="1870" t="s">
        <v>658</v>
      </c>
      <c r="H40" s="779"/>
      <c r="I40" s="779"/>
      <c r="J40" s="511" t="s">
        <v>778</v>
      </c>
      <c r="K40" s="765"/>
      <c r="L40" s="1863"/>
      <c r="M40" s="1863"/>
      <c r="R40" s="1863"/>
      <c r="U40" s="766"/>
      <c r="AA40" s="1859"/>
      <c r="AB40" s="1859"/>
      <c r="AC40" s="1859"/>
      <c r="AD40" s="1859"/>
      <c r="AE40" s="1859"/>
    </row>
    <row s="16550" customFormat="1" customHeight="1" ht="22.5">
      <c r="A41" s="1210"/>
      <c r="C41" s="1863"/>
      <c r="D41" s="1865"/>
      <c r="E41" s="1891" t="s">
        <v>779</v>
      </c>
      <c r="F41" s="1877" t="s">
        <v>780</v>
      </c>
      <c r="G41" s="1870" t="s">
        <v>658</v>
      </c>
      <c r="H41" s="779"/>
      <c r="I41" s="779"/>
      <c r="J41" s="511" t="s">
        <v>781</v>
      </c>
      <c r="K41" s="765"/>
      <c r="L41" s="1863"/>
      <c r="M41" s="1863"/>
      <c r="R41" s="1863"/>
      <c r="U41" s="766"/>
      <c r="AA41" s="1859"/>
      <c r="AB41" s="1859"/>
      <c r="AC41" s="1859"/>
      <c r="AD41" s="1859"/>
      <c r="AE41" s="1859"/>
    </row>
    <row s="16550" customFormat="1" customHeight="1" ht="22.5">
      <c r="A42" s="1210"/>
      <c r="C42" s="1863"/>
      <c r="D42" s="1865"/>
      <c r="E42" s="1891" t="s">
        <v>782</v>
      </c>
      <c r="F42" s="1877" t="s">
        <v>783</v>
      </c>
      <c r="G42" s="1870" t="s">
        <v>658</v>
      </c>
      <c r="H42" s="779"/>
      <c r="I42" s="779"/>
      <c r="J42" s="511" t="s">
        <v>784</v>
      </c>
      <c r="K42" s="765"/>
      <c r="L42" s="1863"/>
      <c r="M42" s="1863"/>
      <c r="R42" s="1863"/>
      <c r="U42" s="766"/>
      <c r="AA42" s="1859"/>
      <c r="AB42" s="1859"/>
      <c r="AC42" s="1859"/>
      <c r="AD42" s="1859"/>
      <c r="AE42" s="1859"/>
    </row>
    <row s="16550" customFormat="1" customHeight="1" ht="33.75">
      <c r="A43" s="1210"/>
      <c r="C43" s="1863" t="s">
        <v>694</v>
      </c>
      <c r="D43" s="1865"/>
      <c r="E43" s="1891" t="s">
        <v>113</v>
      </c>
      <c r="F43" s="929" t="s">
        <v>785</v>
      </c>
      <c r="G43" s="1873" t="s">
        <v>786</v>
      </c>
      <c r="H43" s="623"/>
      <c r="I43" s="623"/>
      <c r="J43" s="511" t="s">
        <v>787</v>
      </c>
      <c r="K43" s="765"/>
      <c r="L43" s="1863"/>
      <c r="M43" s="1863"/>
      <c r="R43" s="1863"/>
      <c r="U43" s="766"/>
      <c r="AA43" s="1859"/>
      <c r="AB43" s="1859"/>
      <c r="AC43" s="1859"/>
      <c r="AD43" s="1859"/>
      <c r="AE43" s="1859"/>
    </row>
    <row s="16550" customFormat="1" customHeight="1" ht="22.5">
      <c r="A44" s="1210"/>
      <c r="C44" s="1863"/>
      <c r="D44" s="1865"/>
      <c r="E44" s="1891" t="s">
        <v>88</v>
      </c>
      <c r="F44" s="929" t="s">
        <v>788</v>
      </c>
      <c r="G44" s="1870" t="s">
        <v>789</v>
      </c>
      <c r="H44" s="767"/>
      <c r="I44" s="767"/>
      <c r="J44" s="511" t="s">
        <v>790</v>
      </c>
      <c r="K44" s="765"/>
      <c r="L44" s="1863"/>
      <c r="M44" s="1863"/>
      <c r="R44" s="1863"/>
      <c r="U44" s="766"/>
      <c r="AA44" s="1859"/>
      <c r="AB44" s="1859"/>
      <c r="AC44" s="1859"/>
      <c r="AD44" s="1859"/>
      <c r="AE44" s="1859"/>
    </row>
    <row s="16550" customFormat="1" customHeight="1" ht="22.5">
      <c r="A45" s="1210"/>
      <c r="C45" s="1863"/>
      <c r="D45" s="1865"/>
      <c r="E45" s="1891" t="s">
        <v>89</v>
      </c>
      <c r="F45" s="929" t="s">
        <v>791</v>
      </c>
      <c r="G45" s="1881" t="s">
        <v>792</v>
      </c>
      <c r="H45" s="767"/>
      <c r="I45" s="767"/>
      <c r="J45" s="511" t="s">
        <v>793</v>
      </c>
      <c r="K45" s="765"/>
      <c r="L45" s="1863"/>
      <c r="M45" s="1863"/>
      <c r="R45" s="1863"/>
      <c r="U45" s="766"/>
      <c r="AA45" s="1859"/>
      <c r="AB45" s="1859"/>
      <c r="AC45" s="1859"/>
      <c r="AD45" s="1859"/>
      <c r="AE45" s="1859"/>
    </row>
    <row s="16550" customFormat="1" customHeight="1" ht="18.75">
      <c r="A46" s="1210"/>
      <c r="C46" s="1863"/>
      <c r="D46" s="1865"/>
      <c r="E46" s="1891" t="s">
        <v>126</v>
      </c>
      <c r="F46" s="929" t="s">
        <v>794</v>
      </c>
      <c r="G46" s="1870" t="s">
        <v>696</v>
      </c>
      <c r="H46" s="799"/>
      <c r="I46" s="799"/>
      <c r="J46" s="511"/>
      <c r="K46" s="765"/>
      <c r="L46" s="1863"/>
      <c r="M46" s="1863"/>
      <c r="R46" s="1863"/>
      <c r="U46" s="766"/>
      <c r="AA46" s="1859"/>
      <c r="AB46" s="1859"/>
      <c r="AC46" s="1859"/>
      <c r="AD46" s="1859"/>
      <c r="AE46" s="1859"/>
    </row>
    <row customHeight="1" ht="11.25">
      <c r="D47" s="1865"/>
    </row>
    <row customHeight="1" ht="26.25">
      <c r="D48" s="1865"/>
      <c r="E48" s="1479"/>
      <c r="F48" s="2387"/>
      <c r="G48" s="2387"/>
      <c r="H48" s="2387"/>
      <c r="I48" s="2387"/>
      <c r="J48" s="2387"/>
    </row>
    <row s="16671" customFormat="1" customHeight="1" ht="37.5">
      <c r="A49" s="1210"/>
      <c r="B49" s="1863"/>
      <c r="C49" s="1863"/>
      <c r="D49" s="573"/>
      <c r="F49" s="2387"/>
      <c r="G49" s="2387"/>
      <c r="H49" s="2387"/>
      <c r="I49" s="2387"/>
      <c r="J49" s="2387"/>
      <c r="K49" s="1384"/>
      <c r="L49" s="1863"/>
      <c r="M49" s="1863"/>
      <c r="N49" s="1384"/>
      <c r="O49" s="1384"/>
      <c r="P49" s="1384"/>
      <c r="Q49" s="1384"/>
      <c r="R49" s="1863"/>
      <c r="S49" s="1384"/>
      <c r="T49" s="1384"/>
      <c r="U49" s="766"/>
      <c r="V49" s="1384"/>
      <c r="W49" s="1384"/>
      <c r="X49" s="1384"/>
      <c r="Y49" s="1384"/>
      <c r="Z49" s="1384"/>
      <c r="AA49" s="1859"/>
      <c r="AB49" s="788"/>
      <c r="AC49" s="788"/>
      <c r="AD49" s="788"/>
      <c r="AE49" s="788"/>
    </row>
    <row s="16671" customFormat="1" customHeight="1" ht="11.25">
      <c r="A50" s="1210"/>
      <c r="B50" s="1863"/>
      <c r="C50" s="1863"/>
      <c r="D50" s="573"/>
      <c r="K50" s="1384"/>
      <c r="L50" s="1863"/>
      <c r="M50" s="1863"/>
      <c r="N50" s="1384"/>
      <c r="O50" s="1384"/>
      <c r="P50" s="1384"/>
      <c r="Q50" s="1384"/>
      <c r="R50" s="1863"/>
      <c r="S50" s="1384"/>
      <c r="T50" s="1384"/>
      <c r="U50" s="766"/>
      <c r="V50" s="1384"/>
      <c r="W50" s="1384"/>
      <c r="X50" s="1384"/>
      <c r="Y50" s="1384"/>
      <c r="Z50" s="1384"/>
      <c r="AA50" s="1859"/>
      <c r="AB50" s="788"/>
      <c r="AC50" s="788"/>
      <c r="AD50" s="788"/>
      <c r="AE50" s="788"/>
    </row>
    <row s="16671" customFormat="1" customHeight="1" ht="11.25">
      <c r="A51" s="1210"/>
      <c r="B51" s="1863"/>
      <c r="C51" s="1863"/>
      <c r="D51" s="573"/>
      <c r="K51" s="1384"/>
      <c r="L51" s="1863"/>
      <c r="M51" s="1863"/>
      <c r="N51" s="1384"/>
      <c r="O51" s="1384"/>
      <c r="P51" s="1384"/>
      <c r="Q51" s="1384"/>
      <c r="R51" s="1863"/>
      <c r="S51" s="1384"/>
      <c r="T51" s="1384"/>
      <c r="U51" s="766"/>
      <c r="V51" s="1384"/>
      <c r="W51" s="1384"/>
      <c r="X51" s="1384"/>
      <c r="Y51" s="1384"/>
      <c r="Z51" s="1384"/>
      <c r="AA51" s="1859"/>
      <c r="AB51" s="788"/>
      <c r="AC51" s="788"/>
      <c r="AD51" s="788"/>
      <c r="AE51" s="788"/>
    </row>
    <row s="16671" customFormat="1" customHeight="1" ht="11.25">
      <c r="A52" s="1210"/>
      <c r="B52" s="1863"/>
      <c r="C52" s="1863"/>
      <c r="D52" s="573"/>
      <c r="H52" s="788"/>
      <c r="I52" s="788"/>
      <c r="K52" s="1384"/>
      <c r="L52" s="1863"/>
      <c r="M52" s="1863"/>
      <c r="N52" s="1384"/>
      <c r="O52" s="1384"/>
      <c r="P52" s="1384"/>
      <c r="Q52" s="1384"/>
      <c r="R52" s="1863"/>
      <c r="S52" s="1384"/>
      <c r="T52" s="1384"/>
      <c r="U52" s="766"/>
      <c r="V52" s="1384"/>
      <c r="W52" s="1384"/>
      <c r="X52" s="1384"/>
      <c r="Y52" s="1384"/>
      <c r="Z52" s="1384"/>
      <c r="AA52" s="1859"/>
      <c r="AB52" s="788"/>
      <c r="AC52" s="788"/>
      <c r="AD52" s="788"/>
      <c r="AE52" s="788"/>
    </row>
    <row s="16671" customFormat="1" customHeight="1" ht="11.25">
      <c r="A53" s="1210"/>
      <c r="B53" s="1863"/>
      <c r="C53" s="1863"/>
      <c r="D53" s="573"/>
      <c r="K53" s="1384"/>
      <c r="L53" s="1863"/>
      <c r="M53" s="1863"/>
      <c r="N53" s="1384"/>
      <c r="O53" s="1384"/>
      <c r="P53" s="1384"/>
      <c r="Q53" s="1384"/>
      <c r="R53" s="1863"/>
      <c r="S53" s="1384"/>
      <c r="T53" s="1384"/>
      <c r="U53" s="766"/>
      <c r="V53" s="1384"/>
      <c r="W53" s="1384"/>
      <c r="X53" s="1384"/>
      <c r="Y53" s="1384"/>
      <c r="Z53" s="1384"/>
      <c r="AA53" s="1859"/>
      <c r="AB53" s="788"/>
      <c r="AC53" s="788"/>
      <c r="AD53" s="788"/>
      <c r="AE53" s="788"/>
    </row>
    <row s="16671" customFormat="1" customHeight="1" ht="11.25">
      <c r="A54" s="1210"/>
      <c r="B54" s="1863"/>
      <c r="C54" s="1863"/>
      <c r="D54" s="573"/>
      <c r="K54" s="1384"/>
      <c r="L54" s="1863"/>
      <c r="M54" s="1863"/>
      <c r="N54" s="1384"/>
      <c r="O54" s="1384"/>
      <c r="P54" s="1384"/>
      <c r="Q54" s="1384"/>
      <c r="R54" s="1863"/>
      <c r="S54" s="1384"/>
      <c r="T54" s="1384"/>
      <c r="U54" s="766"/>
      <c r="V54" s="1384"/>
      <c r="W54" s="1384"/>
      <c r="X54" s="1384"/>
      <c r="Y54" s="1384"/>
      <c r="Z54" s="1384"/>
      <c r="AA54" s="1859"/>
      <c r="AB54" s="788"/>
      <c r="AC54" s="788"/>
      <c r="AD54" s="788"/>
      <c r="AE54" s="788"/>
    </row>
    <row s="16671" customFormat="1" customHeight="1" ht="11.25">
      <c r="A55" s="1210"/>
      <c r="B55" s="1863"/>
      <c r="C55" s="1863"/>
      <c r="D55" s="573"/>
      <c r="K55" s="1384"/>
      <c r="L55" s="1863"/>
      <c r="M55" s="1863"/>
      <c r="N55" s="1384"/>
      <c r="O55" s="1384"/>
      <c r="P55" s="1384"/>
      <c r="Q55" s="1384"/>
      <c r="R55" s="1863"/>
      <c r="S55" s="1384"/>
      <c r="T55" s="1384"/>
      <c r="U55" s="766"/>
      <c r="V55" s="1384"/>
      <c r="W55" s="1384"/>
      <c r="X55" s="1384"/>
      <c r="Y55" s="1384"/>
      <c r="Z55" s="1384"/>
      <c r="AA55" s="1859"/>
      <c r="AB55" s="788"/>
      <c r="AC55" s="788"/>
      <c r="AD55" s="788"/>
      <c r="AE55" s="788"/>
    </row>
    <row s="16671" customFormat="1" customHeight="1" ht="11.25">
      <c r="A56" s="1210"/>
      <c r="B56" s="1863"/>
      <c r="C56" s="1863"/>
      <c r="D56" s="573"/>
      <c r="K56" s="1384"/>
      <c r="L56" s="1863"/>
      <c r="M56" s="1863"/>
      <c r="N56" s="1384"/>
      <c r="O56" s="1384"/>
      <c r="P56" s="1384"/>
      <c r="Q56" s="1384"/>
      <c r="R56" s="1863"/>
      <c r="S56" s="1384"/>
      <c r="T56" s="1384"/>
      <c r="U56" s="766"/>
      <c r="V56" s="1384"/>
      <c r="W56" s="1384"/>
      <c r="X56" s="1384"/>
      <c r="Y56" s="1384"/>
      <c r="Z56" s="1384"/>
      <c r="AA56" s="1859"/>
      <c r="AB56" s="788"/>
      <c r="AC56" s="788"/>
      <c r="AD56" s="788"/>
      <c r="AE56" s="788"/>
    </row>
    <row s="16671" customFormat="1" customHeight="1" ht="11.25">
      <c r="A57" s="1210"/>
      <c r="B57" s="1863"/>
      <c r="C57" s="1863"/>
      <c r="D57" s="573"/>
      <c r="K57" s="1384"/>
      <c r="L57" s="1863"/>
      <c r="M57" s="1863"/>
      <c r="N57" s="1384"/>
      <c r="O57" s="1384"/>
      <c r="P57" s="1384"/>
      <c r="Q57" s="1384"/>
      <c r="R57" s="1863"/>
      <c r="S57" s="1384"/>
      <c r="T57" s="1384"/>
      <c r="U57" s="766"/>
      <c r="V57" s="1384"/>
      <c r="W57" s="1384"/>
      <c r="X57" s="1384"/>
      <c r="Y57" s="1384"/>
      <c r="Z57" s="1384"/>
      <c r="AA57" s="1859"/>
      <c r="AB57" s="788"/>
      <c r="AC57" s="788"/>
      <c r="AD57" s="788"/>
      <c r="AE57" s="788"/>
    </row>
    <row s="16671" customFormat="1" customHeight="1" ht="11.25">
      <c r="A58" s="1210"/>
      <c r="B58" s="1863"/>
      <c r="C58" s="1863"/>
      <c r="D58" s="573"/>
      <c r="K58" s="1384"/>
      <c r="L58" s="1863"/>
      <c r="M58" s="1863"/>
      <c r="N58" s="1384"/>
      <c r="O58" s="1384"/>
      <c r="P58" s="1384"/>
      <c r="Q58" s="1384"/>
      <c r="R58" s="1863"/>
      <c r="S58" s="1384"/>
      <c r="T58" s="1384"/>
      <c r="U58" s="766"/>
      <c r="V58" s="1384"/>
      <c r="W58" s="1384"/>
      <c r="X58" s="1384"/>
      <c r="Y58" s="1384"/>
      <c r="Z58" s="1384"/>
      <c r="AA58" s="1859"/>
      <c r="AB58" s="788"/>
      <c r="AC58" s="788"/>
      <c r="AD58" s="788"/>
      <c r="AE58" s="788"/>
    </row>
    <row s="16671" customFormat="1" customHeight="1" ht="11.25">
      <c r="A59" s="1210"/>
      <c r="B59" s="1863"/>
      <c r="C59" s="1863"/>
      <c r="D59" s="573"/>
      <c r="K59" s="1384"/>
      <c r="L59" s="1863"/>
      <c r="M59" s="1863"/>
      <c r="N59" s="1384"/>
      <c r="O59" s="1384"/>
      <c r="P59" s="1384"/>
      <c r="Q59" s="1384"/>
      <c r="R59" s="1863"/>
      <c r="S59" s="1384"/>
      <c r="T59" s="1384"/>
      <c r="U59" s="766"/>
      <c r="V59" s="1384"/>
      <c r="W59" s="1384"/>
      <c r="X59" s="1384"/>
      <c r="Y59" s="1384"/>
      <c r="Z59" s="1384"/>
      <c r="AA59" s="1859"/>
      <c r="AB59" s="788"/>
      <c r="AC59" s="788"/>
      <c r="AD59" s="788"/>
      <c r="AE59" s="788"/>
    </row>
    <row s="16671" customFormat="1" customHeight="1" ht="11.25">
      <c r="A60" s="1210"/>
      <c r="B60" s="1863"/>
      <c r="C60" s="1863"/>
      <c r="D60" s="573"/>
      <c r="K60" s="1384"/>
      <c r="L60" s="1863"/>
      <c r="M60" s="1863"/>
      <c r="N60" s="1384"/>
      <c r="O60" s="1384"/>
      <c r="P60" s="1384"/>
      <c r="Q60" s="1384"/>
      <c r="R60" s="1863"/>
      <c r="S60" s="1384"/>
      <c r="T60" s="1384"/>
      <c r="U60" s="766"/>
      <c r="V60" s="1384"/>
      <c r="W60" s="1384"/>
      <c r="X60" s="1384"/>
      <c r="Y60" s="1384"/>
      <c r="Z60" s="1384"/>
      <c r="AA60" s="1859"/>
      <c r="AB60" s="788"/>
      <c r="AC60" s="788"/>
      <c r="AD60" s="788"/>
      <c r="AE60" s="788"/>
    </row>
    <row s="16671" customFormat="1" customHeight="1" ht="11.25">
      <c r="A61" s="1210"/>
      <c r="B61" s="1863"/>
      <c r="C61" s="1863"/>
      <c r="D61" s="573"/>
      <c r="K61" s="1384"/>
      <c r="L61" s="1863"/>
      <c r="M61" s="1863"/>
      <c r="N61" s="1384"/>
      <c r="O61" s="1384"/>
      <c r="P61" s="1384"/>
      <c r="Q61" s="1384"/>
      <c r="R61" s="1863"/>
      <c r="S61" s="1384"/>
      <c r="T61" s="1384"/>
      <c r="U61" s="766"/>
      <c r="V61" s="1384"/>
      <c r="W61" s="1384"/>
      <c r="X61" s="1384"/>
      <c r="Y61" s="1384"/>
      <c r="Z61" s="1384"/>
      <c r="AA61" s="1859"/>
      <c r="AB61" s="788"/>
      <c r="AC61" s="788"/>
      <c r="AD61" s="788"/>
      <c r="AE61" s="788"/>
    </row>
    <row s="16671" customFormat="1" customHeight="1" ht="11.25">
      <c r="A62" s="1210"/>
      <c r="B62" s="1863"/>
      <c r="C62" s="1863"/>
      <c r="D62" s="573"/>
      <c r="K62" s="1384"/>
      <c r="L62" s="1863"/>
      <c r="M62" s="1863"/>
      <c r="N62" s="1384"/>
      <c r="O62" s="1384"/>
      <c r="P62" s="1384"/>
      <c r="Q62" s="1384"/>
      <c r="R62" s="1863"/>
      <c r="S62" s="1384"/>
      <c r="T62" s="1384"/>
      <c r="U62" s="766"/>
      <c r="V62" s="1384"/>
      <c r="W62" s="1384"/>
      <c r="X62" s="1384"/>
      <c r="Y62" s="1384"/>
      <c r="Z62" s="1384"/>
      <c r="AA62" s="1859"/>
      <c r="AB62" s="788"/>
      <c r="AC62" s="788"/>
      <c r="AD62" s="788"/>
      <c r="AE62" s="788"/>
    </row>
    <row s="16671" customFormat="1" customHeight="1" ht="11.25">
      <c r="A63" s="1210"/>
      <c r="B63" s="1863"/>
      <c r="C63" s="1863"/>
      <c r="D63" s="573"/>
      <c r="K63" s="1384"/>
      <c r="L63" s="1863"/>
      <c r="M63" s="1863"/>
      <c r="N63" s="1384"/>
      <c r="O63" s="1384"/>
      <c r="P63" s="1384"/>
      <c r="Q63" s="1384"/>
      <c r="R63" s="1863"/>
      <c r="S63" s="1384"/>
      <c r="T63" s="1384"/>
      <c r="U63" s="766"/>
      <c r="V63" s="1384"/>
      <c r="W63" s="1384"/>
      <c r="X63" s="1384"/>
      <c r="Y63" s="1384"/>
      <c r="Z63" s="1384"/>
      <c r="AA63" s="1859"/>
      <c r="AB63" s="788"/>
      <c r="AC63" s="788"/>
      <c r="AD63" s="788"/>
      <c r="AE63" s="788"/>
    </row>
    <row s="16671" customFormat="1" customHeight="1" ht="11.25">
      <c r="A64" s="1210"/>
      <c r="B64" s="1863"/>
      <c r="C64" s="1863"/>
      <c r="D64" s="573"/>
      <c r="K64" s="1384"/>
      <c r="L64" s="1863"/>
      <c r="M64" s="1863"/>
      <c r="N64" s="1384"/>
      <c r="O64" s="1384"/>
      <c r="P64" s="1384"/>
      <c r="Q64" s="1384"/>
      <c r="R64" s="1863"/>
      <c r="S64" s="1384"/>
      <c r="T64" s="1384"/>
      <c r="U64" s="766"/>
      <c r="V64" s="1384"/>
      <c r="W64" s="1384"/>
      <c r="X64" s="1384"/>
      <c r="Y64" s="1384"/>
      <c r="Z64" s="1384"/>
      <c r="AA64" s="1859"/>
      <c r="AB64" s="788"/>
      <c r="AC64" s="788"/>
      <c r="AD64" s="788"/>
      <c r="AE64" s="788"/>
    </row>
    <row s="16671" customFormat="1" customHeight="1" ht="11.25">
      <c r="A65" s="1210"/>
      <c r="B65" s="1863"/>
      <c r="C65" s="1863"/>
      <c r="D65" s="573"/>
      <c r="K65" s="1384"/>
      <c r="L65" s="1863"/>
      <c r="M65" s="1863"/>
      <c r="N65" s="1384"/>
      <c r="O65" s="1384"/>
      <c r="P65" s="1384"/>
      <c r="Q65" s="1384"/>
      <c r="R65" s="1863"/>
      <c r="S65" s="1384"/>
      <c r="T65" s="1384"/>
      <c r="U65" s="766"/>
      <c r="V65" s="1384"/>
      <c r="W65" s="1384"/>
      <c r="X65" s="1384"/>
      <c r="Y65" s="1384"/>
      <c r="Z65" s="1384"/>
      <c r="AA65" s="1859"/>
      <c r="AB65" s="788"/>
      <c r="AC65" s="788"/>
      <c r="AD65" s="788"/>
      <c r="AE65" s="788"/>
    </row>
    <row s="16671" customFormat="1" customHeight="1" ht="11.25">
      <c r="A66" s="1210"/>
      <c r="B66" s="1863"/>
      <c r="C66" s="1863"/>
      <c r="D66" s="573"/>
      <c r="K66" s="1384"/>
      <c r="L66" s="1863"/>
      <c r="M66" s="1863"/>
      <c r="N66" s="1384"/>
      <c r="O66" s="1384"/>
      <c r="P66" s="1384"/>
      <c r="Q66" s="1384"/>
      <c r="R66" s="1863"/>
      <c r="S66" s="1384"/>
      <c r="T66" s="1384"/>
      <c r="U66" s="766"/>
      <c r="V66" s="1384"/>
      <c r="W66" s="1384"/>
      <c r="X66" s="1384"/>
      <c r="Y66" s="1384"/>
      <c r="Z66" s="1384"/>
      <c r="AA66" s="1859"/>
      <c r="AB66" s="788"/>
      <c r="AC66" s="788"/>
      <c r="AD66" s="788"/>
      <c r="AE66" s="788"/>
    </row>
    <row s="16671" customFormat="1" customHeight="1" ht="11.25">
      <c r="A67" s="1210"/>
      <c r="B67" s="1863"/>
      <c r="C67" s="1863"/>
      <c r="D67" s="573"/>
      <c r="K67" s="1384"/>
      <c r="L67" s="1863"/>
      <c r="M67" s="1863"/>
      <c r="N67" s="1384"/>
      <c r="O67" s="1384"/>
      <c r="P67" s="1384"/>
      <c r="Q67" s="1384"/>
      <c r="R67" s="1863"/>
      <c r="S67" s="1384"/>
      <c r="T67" s="1384"/>
      <c r="U67" s="766"/>
      <c r="V67" s="1384"/>
      <c r="W67" s="1384"/>
      <c r="X67" s="1384"/>
      <c r="Y67" s="1384"/>
      <c r="Z67" s="1384"/>
      <c r="AA67" s="1859"/>
      <c r="AB67" s="788"/>
      <c r="AC67" s="788"/>
      <c r="AD67" s="788"/>
      <c r="AE67" s="788"/>
    </row>
    <row s="16671" customFormat="1" customHeight="1" ht="11.25">
      <c r="A68" s="1210"/>
      <c r="B68" s="1863"/>
      <c r="C68" s="1863"/>
      <c r="D68" s="573"/>
      <c r="K68" s="1384"/>
      <c r="L68" s="1863"/>
      <c r="M68" s="1863"/>
      <c r="N68" s="1384"/>
      <c r="O68" s="1384"/>
      <c r="P68" s="1384"/>
      <c r="Q68" s="1384"/>
      <c r="R68" s="1863"/>
      <c r="S68" s="1384"/>
      <c r="T68" s="1384"/>
      <c r="U68" s="766"/>
      <c r="V68" s="1384"/>
      <c r="W68" s="1384"/>
      <c r="X68" s="1384"/>
      <c r="Y68" s="1384"/>
      <c r="Z68" s="1384"/>
      <c r="AA68" s="1859"/>
      <c r="AB68" s="788"/>
      <c r="AC68" s="788"/>
      <c r="AD68" s="788"/>
      <c r="AE68" s="788"/>
    </row>
    <row s="16671" customFormat="1" customHeight="1" ht="11.25">
      <c r="A69" s="1210"/>
      <c r="B69" s="1863"/>
      <c r="C69" s="1863"/>
      <c r="D69" s="573"/>
      <c r="K69" s="1384"/>
      <c r="L69" s="1863"/>
      <c r="M69" s="1863"/>
      <c r="N69" s="1384"/>
      <c r="O69" s="1384"/>
      <c r="P69" s="1384"/>
      <c r="Q69" s="1384"/>
      <c r="R69" s="1863"/>
      <c r="S69" s="1384"/>
      <c r="T69" s="1384"/>
      <c r="U69" s="766"/>
      <c r="V69" s="1384"/>
      <c r="W69" s="1384"/>
      <c r="X69" s="1384"/>
      <c r="Y69" s="1384"/>
      <c r="Z69" s="1384"/>
      <c r="AA69" s="1859"/>
      <c r="AB69" s="788"/>
      <c r="AC69" s="788"/>
      <c r="AD69" s="788"/>
      <c r="AE69" s="788"/>
    </row>
    <row s="16671" customFormat="1" customHeight="1" ht="11.25">
      <c r="A70" s="1210"/>
      <c r="B70" s="1863"/>
      <c r="C70" s="1863"/>
      <c r="D70" s="573"/>
      <c r="K70" s="1384"/>
      <c r="L70" s="1863"/>
      <c r="M70" s="1863"/>
      <c r="N70" s="1384"/>
      <c r="O70" s="1384"/>
      <c r="P70" s="1384"/>
      <c r="Q70" s="1384"/>
      <c r="R70" s="1863"/>
      <c r="S70" s="1384"/>
      <c r="T70" s="1384"/>
      <c r="U70" s="766"/>
      <c r="V70" s="1384"/>
      <c r="W70" s="1384"/>
      <c r="X70" s="1384"/>
      <c r="Y70" s="1384"/>
      <c r="Z70" s="1384"/>
      <c r="AA70" s="1859"/>
      <c r="AB70" s="788"/>
      <c r="AC70" s="788"/>
      <c r="AD70" s="788"/>
      <c r="AE70" s="788"/>
    </row>
    <row s="16671" customFormat="1" customHeight="1" ht="11.25">
      <c r="A71" s="1210"/>
      <c r="B71" s="1863"/>
      <c r="C71" s="1863"/>
      <c r="D71" s="573"/>
      <c r="K71" s="1384"/>
      <c r="L71" s="1863"/>
      <c r="M71" s="1863"/>
      <c r="N71" s="1384"/>
      <c r="O71" s="1384"/>
      <c r="P71" s="1384"/>
      <c r="Q71" s="1384"/>
      <c r="R71" s="1863"/>
      <c r="S71" s="1384"/>
      <c r="T71" s="1384"/>
      <c r="U71" s="766"/>
      <c r="V71" s="1384"/>
      <c r="W71" s="1384"/>
      <c r="X71" s="1384"/>
      <c r="Y71" s="1384"/>
      <c r="Z71" s="1384"/>
      <c r="AA71" s="1859"/>
      <c r="AB71" s="788"/>
      <c r="AC71" s="788"/>
      <c r="AD71" s="788"/>
      <c r="AE71" s="788"/>
    </row>
    <row s="16671" customFormat="1" customHeight="1" ht="11.25">
      <c r="A72" s="1210"/>
      <c r="B72" s="1863"/>
      <c r="C72" s="1863"/>
      <c r="D72" s="573"/>
      <c r="K72" s="1384"/>
      <c r="L72" s="1863"/>
      <c r="M72" s="1863"/>
      <c r="N72" s="1384"/>
      <c r="O72" s="1384"/>
      <c r="P72" s="1384"/>
      <c r="Q72" s="1384"/>
      <c r="R72" s="1863"/>
      <c r="S72" s="1384"/>
      <c r="T72" s="1384"/>
      <c r="U72" s="766"/>
      <c r="V72" s="1384"/>
      <c r="W72" s="1384"/>
      <c r="X72" s="1384"/>
      <c r="Y72" s="1384"/>
      <c r="Z72" s="1384"/>
      <c r="AA72" s="1859"/>
      <c r="AB72" s="788"/>
      <c r="AC72" s="788"/>
      <c r="AD72" s="788"/>
      <c r="AE72" s="788"/>
    </row>
    <row s="16671" customFormat="1" customHeight="1" ht="11.25">
      <c r="A73" s="1210"/>
      <c r="B73" s="1863"/>
      <c r="C73" s="1863"/>
      <c r="D73" s="573"/>
      <c r="K73" s="1384"/>
      <c r="L73" s="1863"/>
      <c r="M73" s="1863"/>
      <c r="N73" s="1384"/>
      <c r="O73" s="1384"/>
      <c r="P73" s="1384"/>
      <c r="Q73" s="1384"/>
      <c r="R73" s="1863"/>
      <c r="S73" s="1384"/>
      <c r="T73" s="1384"/>
      <c r="U73" s="766"/>
      <c r="V73" s="1384"/>
      <c r="W73" s="1384"/>
      <c r="X73" s="1384"/>
      <c r="Y73" s="1384"/>
      <c r="Z73" s="1384"/>
      <c r="AA73" s="1859"/>
      <c r="AB73" s="788"/>
      <c r="AC73" s="788"/>
      <c r="AD73" s="788"/>
      <c r="AE73" s="788"/>
    </row>
    <row s="16671" customFormat="1" customHeight="1" ht="11.25">
      <c r="A74" s="1210"/>
      <c r="B74" s="1863"/>
      <c r="C74" s="1863"/>
      <c r="D74" s="573"/>
      <c r="K74" s="1384"/>
      <c r="L74" s="1863"/>
      <c r="M74" s="1863"/>
      <c r="N74" s="1384"/>
      <c r="O74" s="1384"/>
      <c r="P74" s="1384"/>
      <c r="Q74" s="1384"/>
      <c r="R74" s="1863"/>
      <c r="S74" s="1384"/>
      <c r="T74" s="1384"/>
      <c r="U74" s="766"/>
      <c r="V74" s="1384"/>
      <c r="W74" s="1384"/>
      <c r="X74" s="1384"/>
      <c r="Y74" s="1384"/>
      <c r="Z74" s="1384"/>
      <c r="AA74" s="1859"/>
      <c r="AB74" s="788"/>
      <c r="AC74" s="788"/>
      <c r="AD74" s="788"/>
      <c r="AE74" s="788"/>
    </row>
    <row s="16671" customFormat="1" customHeight="1" ht="11.25">
      <c r="A75" s="1210"/>
      <c r="B75" s="1863"/>
      <c r="C75" s="1863"/>
      <c r="D75" s="573"/>
      <c r="K75" s="1384"/>
      <c r="L75" s="1863"/>
      <c r="M75" s="1863"/>
      <c r="N75" s="1384"/>
      <c r="O75" s="1384"/>
      <c r="P75" s="1384"/>
      <c r="Q75" s="1384"/>
      <c r="R75" s="1863"/>
      <c r="S75" s="1384"/>
      <c r="T75" s="1384"/>
      <c r="U75" s="766"/>
      <c r="V75" s="1384"/>
      <c r="W75" s="1384"/>
      <c r="X75" s="1384"/>
      <c r="Y75" s="1384"/>
      <c r="Z75" s="1384"/>
      <c r="AA75" s="1859"/>
      <c r="AB75" s="788"/>
      <c r="AC75" s="788"/>
      <c r="AD75" s="788"/>
      <c r="AE75" s="788"/>
    </row>
    <row s="16671" customFormat="1" customHeight="1" ht="11.25">
      <c r="A76" s="1210"/>
      <c r="B76" s="1863"/>
      <c r="C76" s="1863"/>
      <c r="D76" s="573"/>
      <c r="K76" s="1384"/>
      <c r="L76" s="1863"/>
      <c r="M76" s="1863"/>
      <c r="N76" s="1384"/>
      <c r="O76" s="1384"/>
      <c r="P76" s="1384"/>
      <c r="Q76" s="1384"/>
      <c r="R76" s="1863"/>
      <c r="S76" s="1384"/>
      <c r="T76" s="1384"/>
      <c r="U76" s="766"/>
      <c r="V76" s="1384"/>
      <c r="W76" s="1384"/>
      <c r="X76" s="1384"/>
      <c r="Y76" s="1384"/>
      <c r="Z76" s="1384"/>
      <c r="AA76" s="1859"/>
      <c r="AB76" s="788"/>
      <c r="AC76" s="788"/>
      <c r="AD76" s="788"/>
      <c r="AE76" s="788"/>
    </row>
    <row s="16671" customFormat="1" customHeight="1" ht="11.25">
      <c r="A77" s="1210"/>
      <c r="B77" s="1863"/>
      <c r="C77" s="1863"/>
      <c r="D77" s="573"/>
      <c r="K77" s="1384"/>
      <c r="L77" s="1863"/>
      <c r="M77" s="1863"/>
      <c r="N77" s="1384"/>
      <c r="O77" s="1384"/>
      <c r="P77" s="1384"/>
      <c r="Q77" s="1384"/>
      <c r="R77" s="1863"/>
      <c r="S77" s="1384"/>
      <c r="T77" s="1384"/>
      <c r="U77" s="766"/>
      <c r="V77" s="1384"/>
      <c r="W77" s="1384"/>
      <c r="X77" s="1384"/>
      <c r="Y77" s="1384"/>
      <c r="Z77" s="1384"/>
      <c r="AA77" s="1859"/>
      <c r="AB77" s="788"/>
      <c r="AC77" s="788"/>
      <c r="AD77" s="788"/>
      <c r="AE77" s="788"/>
    </row>
    <row s="16671" customFormat="1" customHeight="1" ht="11.25">
      <c r="A78" s="1210"/>
      <c r="B78" s="1863"/>
      <c r="C78" s="1863"/>
      <c r="D78" s="573"/>
      <c r="K78" s="1384"/>
      <c r="L78" s="1863"/>
      <c r="M78" s="1863"/>
      <c r="N78" s="1384"/>
      <c r="O78" s="1384"/>
      <c r="P78" s="1384"/>
      <c r="Q78" s="1384"/>
      <c r="R78" s="1863"/>
      <c r="S78" s="1384"/>
      <c r="T78" s="1384"/>
      <c r="U78" s="766"/>
      <c r="V78" s="1384"/>
      <c r="W78" s="1384"/>
      <c r="X78" s="1384"/>
      <c r="Y78" s="1384"/>
      <c r="Z78" s="1384"/>
      <c r="AA78" s="1859"/>
      <c r="AB78" s="788"/>
      <c r="AC78" s="788"/>
      <c r="AD78" s="788"/>
      <c r="AE78" s="788"/>
    </row>
    <row s="16671" customFormat="1" customHeight="1" ht="11.25">
      <c r="A79" s="1210"/>
      <c r="B79" s="1863"/>
      <c r="C79" s="1863"/>
      <c r="D79" s="573"/>
      <c r="K79" s="1384"/>
      <c r="L79" s="1863"/>
      <c r="M79" s="1863"/>
      <c r="N79" s="1384"/>
      <c r="O79" s="1384"/>
      <c r="P79" s="1384"/>
      <c r="Q79" s="1384"/>
      <c r="R79" s="1863"/>
      <c r="S79" s="1384"/>
      <c r="T79" s="1384"/>
      <c r="U79" s="766"/>
      <c r="V79" s="1384"/>
      <c r="W79" s="1384"/>
      <c r="X79" s="1384"/>
      <c r="Y79" s="1384"/>
      <c r="Z79" s="1384"/>
      <c r="AA79" s="1859"/>
      <c r="AB79" s="788"/>
      <c r="AC79" s="788"/>
      <c r="AD79" s="788"/>
      <c r="AE79" s="788"/>
    </row>
    <row s="16671" customFormat="1" customHeight="1" ht="11.25">
      <c r="A80" s="1210"/>
      <c r="B80" s="1863"/>
      <c r="C80" s="1863"/>
      <c r="D80" s="573"/>
      <c r="K80" s="1384"/>
      <c r="L80" s="1863"/>
      <c r="M80" s="1863"/>
      <c r="N80" s="1384"/>
      <c r="O80" s="1384"/>
      <c r="P80" s="1384"/>
      <c r="Q80" s="1384"/>
      <c r="R80" s="1863"/>
      <c r="S80" s="1384"/>
      <c r="T80" s="1384"/>
      <c r="U80" s="766"/>
      <c r="V80" s="1384"/>
      <c r="W80" s="1384"/>
      <c r="X80" s="1384"/>
      <c r="Y80" s="1384"/>
      <c r="Z80" s="1384"/>
      <c r="AA80" s="1859"/>
      <c r="AB80" s="788"/>
      <c r="AC80" s="788"/>
      <c r="AD80" s="788"/>
      <c r="AE80" s="788"/>
    </row>
    <row s="16671" customFormat="1" customHeight="1" ht="11.25">
      <c r="A81" s="1210"/>
      <c r="B81" s="1863"/>
      <c r="C81" s="1863"/>
      <c r="D81" s="573"/>
      <c r="K81" s="1384"/>
      <c r="L81" s="1863"/>
      <c r="M81" s="1863"/>
      <c r="N81" s="1384"/>
      <c r="O81" s="1384"/>
      <c r="P81" s="1384"/>
      <c r="Q81" s="1384"/>
      <c r="R81" s="1863"/>
      <c r="S81" s="1384"/>
      <c r="T81" s="1384"/>
      <c r="U81" s="766"/>
      <c r="V81" s="1384"/>
      <c r="W81" s="1384"/>
      <c r="X81" s="1384"/>
      <c r="Y81" s="1384"/>
      <c r="Z81" s="1384"/>
      <c r="AA81" s="1859"/>
      <c r="AB81" s="788"/>
      <c r="AC81" s="788"/>
      <c r="AD81" s="788"/>
      <c r="AE81" s="788"/>
    </row>
    <row s="16671" customFormat="1" customHeight="1" ht="11.25">
      <c r="A82" s="1210"/>
      <c r="B82" s="1863"/>
      <c r="C82" s="1863"/>
      <c r="D82" s="573"/>
      <c r="K82" s="1384"/>
      <c r="L82" s="1863"/>
      <c r="M82" s="1863"/>
      <c r="N82" s="1384"/>
      <c r="O82" s="1384"/>
      <c r="P82" s="1384"/>
      <c r="Q82" s="1384"/>
      <c r="R82" s="1863"/>
      <c r="S82" s="1384"/>
      <c r="T82" s="1384"/>
      <c r="U82" s="766"/>
      <c r="V82" s="1384"/>
      <c r="W82" s="1384"/>
      <c r="X82" s="1384"/>
      <c r="Y82" s="1384"/>
      <c r="Z82" s="1384"/>
      <c r="AA82" s="1859"/>
      <c r="AB82" s="788"/>
      <c r="AC82" s="788"/>
      <c r="AD82" s="788"/>
      <c r="AE82" s="788"/>
    </row>
    <row s="16671" customFormat="1" customHeight="1" ht="11.25">
      <c r="A83" s="1210"/>
      <c r="B83" s="1863"/>
      <c r="C83" s="1863"/>
      <c r="D83" s="573"/>
      <c r="K83" s="1384"/>
      <c r="L83" s="1863"/>
      <c r="M83" s="1863"/>
      <c r="N83" s="1384"/>
      <c r="O83" s="1384"/>
      <c r="P83" s="1384"/>
      <c r="Q83" s="1384"/>
      <c r="R83" s="1863"/>
      <c r="S83" s="1384"/>
      <c r="T83" s="1384"/>
      <c r="U83" s="766"/>
      <c r="V83" s="1384"/>
      <c r="W83" s="1384"/>
      <c r="X83" s="1384"/>
      <c r="Y83" s="1384"/>
      <c r="Z83" s="1384"/>
      <c r="AA83" s="1859"/>
      <c r="AB83" s="788"/>
      <c r="AC83" s="788"/>
      <c r="AD83" s="788"/>
      <c r="AE83" s="788"/>
    </row>
    <row s="16671" customFormat="1" customHeight="1" ht="11.25">
      <c r="A84" s="1210"/>
      <c r="B84" s="1863"/>
      <c r="C84" s="1863"/>
      <c r="D84" s="573"/>
      <c r="K84" s="1384"/>
      <c r="L84" s="1863"/>
      <c r="M84" s="1863"/>
      <c r="N84" s="1384"/>
      <c r="O84" s="1384"/>
      <c r="P84" s="1384"/>
      <c r="Q84" s="1384"/>
      <c r="R84" s="1863"/>
      <c r="S84" s="1384"/>
      <c r="T84" s="1384"/>
      <c r="U84" s="766"/>
      <c r="V84" s="1384"/>
      <c r="W84" s="1384"/>
      <c r="X84" s="1384"/>
      <c r="Y84" s="1384"/>
      <c r="Z84" s="1384"/>
      <c r="AA84" s="1859"/>
      <c r="AB84" s="788"/>
      <c r="AC84" s="788"/>
      <c r="AD84" s="788"/>
      <c r="AE84" s="788"/>
    </row>
    <row s="16671" customFormat="1" customHeight="1" ht="11.25">
      <c r="A85" s="1210"/>
      <c r="B85" s="1863"/>
      <c r="C85" s="1863"/>
      <c r="D85" s="573"/>
      <c r="K85" s="1384"/>
      <c r="L85" s="1863"/>
      <c r="M85" s="1863"/>
      <c r="N85" s="1384"/>
      <c r="O85" s="1384"/>
      <c r="P85" s="1384"/>
      <c r="Q85" s="1384"/>
      <c r="R85" s="1863"/>
      <c r="S85" s="1384"/>
      <c r="T85" s="1384"/>
      <c r="U85" s="766"/>
      <c r="V85" s="1384"/>
      <c r="W85" s="1384"/>
      <c r="X85" s="1384"/>
      <c r="Y85" s="1384"/>
      <c r="Z85" s="1384"/>
      <c r="AA85" s="1859"/>
      <c r="AB85" s="788"/>
      <c r="AC85" s="788"/>
      <c r="AD85" s="788"/>
      <c r="AE85" s="788"/>
    </row>
    <row s="16671" customFormat="1" customHeight="1" ht="11.25">
      <c r="A86" s="1210"/>
      <c r="B86" s="1863"/>
      <c r="C86" s="1863"/>
      <c r="D86" s="573"/>
      <c r="K86" s="1384"/>
      <c r="L86" s="1863"/>
      <c r="M86" s="1863"/>
      <c r="N86" s="1384"/>
      <c r="O86" s="1384"/>
      <c r="P86" s="1384"/>
      <c r="Q86" s="1384"/>
      <c r="R86" s="1863"/>
      <c r="S86" s="1384"/>
      <c r="T86" s="1384"/>
      <c r="U86" s="766"/>
      <c r="V86" s="1384"/>
      <c r="W86" s="1384"/>
      <c r="X86" s="1384"/>
      <c r="Y86" s="1384"/>
      <c r="Z86" s="1384"/>
      <c r="AA86" s="1859"/>
      <c r="AB86" s="788"/>
      <c r="AC86" s="788"/>
      <c r="AD86" s="788"/>
      <c r="AE86" s="788"/>
    </row>
    <row s="16671" customFormat="1" customHeight="1" ht="11.25">
      <c r="A87" s="1210"/>
      <c r="B87" s="1863"/>
      <c r="C87" s="1863"/>
      <c r="D87" s="573"/>
      <c r="K87" s="1384"/>
      <c r="L87" s="1863"/>
      <c r="M87" s="1863"/>
      <c r="N87" s="1384"/>
      <c r="O87" s="1384"/>
      <c r="P87" s="1384"/>
      <c r="Q87" s="1384"/>
      <c r="R87" s="1863"/>
      <c r="S87" s="1384"/>
      <c r="T87" s="1384"/>
      <c r="U87" s="766"/>
      <c r="V87" s="1384"/>
      <c r="W87" s="1384"/>
      <c r="X87" s="1384"/>
      <c r="Y87" s="1384"/>
      <c r="Z87" s="1384"/>
      <c r="AA87" s="1859"/>
      <c r="AB87" s="788"/>
      <c r="AC87" s="788"/>
      <c r="AD87" s="788"/>
      <c r="AE87" s="788"/>
    </row>
    <row s="16671" customFormat="1" customHeight="1" ht="11.25">
      <c r="A88" s="1210"/>
      <c r="B88" s="1863"/>
      <c r="C88" s="1863"/>
      <c r="D88" s="573"/>
      <c r="K88" s="1384"/>
      <c r="L88" s="1863"/>
      <c r="M88" s="1863"/>
      <c r="N88" s="1384"/>
      <c r="O88" s="1384"/>
      <c r="P88" s="1384"/>
      <c r="Q88" s="1384"/>
      <c r="R88" s="1863"/>
      <c r="S88" s="1384"/>
      <c r="T88" s="1384"/>
      <c r="U88" s="766"/>
      <c r="V88" s="1384"/>
      <c r="W88" s="1384"/>
      <c r="X88" s="1384"/>
      <c r="Y88" s="1384"/>
      <c r="Z88" s="1384"/>
      <c r="AA88" s="1859"/>
      <c r="AB88" s="788"/>
      <c r="AC88" s="788"/>
      <c r="AD88" s="788"/>
      <c r="AE88" s="788"/>
    </row>
    <row s="16671" customFormat="1" customHeight="1" ht="11.25">
      <c r="A89" s="1210"/>
      <c r="B89" s="1863"/>
      <c r="C89" s="1863"/>
      <c r="D89" s="573"/>
      <c r="K89" s="1384"/>
      <c r="L89" s="1863"/>
      <c r="M89" s="1863"/>
      <c r="N89" s="1384"/>
      <c r="O89" s="1384"/>
      <c r="P89" s="1384"/>
      <c r="Q89" s="1384"/>
      <c r="R89" s="1863"/>
      <c r="S89" s="1384"/>
      <c r="T89" s="1384"/>
      <c r="U89" s="766"/>
      <c r="V89" s="1384"/>
      <c r="W89" s="1384"/>
      <c r="X89" s="1384"/>
      <c r="Y89" s="1384"/>
      <c r="Z89" s="1384"/>
      <c r="AA89" s="1859"/>
      <c r="AB89" s="788"/>
      <c r="AC89" s="788"/>
      <c r="AD89" s="788"/>
      <c r="AE89" s="788"/>
    </row>
    <row s="16671" customFormat="1" customHeight="1" ht="11.25">
      <c r="A90" s="1210"/>
      <c r="B90" s="1863"/>
      <c r="C90" s="1863"/>
      <c r="D90" s="573"/>
      <c r="K90" s="1384"/>
      <c r="L90" s="1863"/>
      <c r="M90" s="1863"/>
      <c r="N90" s="1384"/>
      <c r="O90" s="1384"/>
      <c r="P90" s="1384"/>
      <c r="Q90" s="1384"/>
      <c r="R90" s="1863"/>
      <c r="S90" s="1384"/>
      <c r="T90" s="1384"/>
      <c r="U90" s="766"/>
      <c r="V90" s="1384"/>
      <c r="W90" s="1384"/>
      <c r="X90" s="1384"/>
      <c r="Y90" s="1384"/>
      <c r="Z90" s="1384"/>
      <c r="AA90" s="1859"/>
      <c r="AB90" s="788"/>
      <c r="AC90" s="788"/>
      <c r="AD90" s="788"/>
      <c r="AE90" s="788"/>
    </row>
    <row s="16671" customFormat="1" customHeight="1" ht="11.25">
      <c r="A91" s="1210"/>
      <c r="B91" s="1863"/>
      <c r="C91" s="1863"/>
      <c r="D91" s="573"/>
      <c r="K91" s="1384"/>
      <c r="L91" s="1863"/>
      <c r="M91" s="1863"/>
      <c r="N91" s="1384"/>
      <c r="O91" s="1384"/>
      <c r="P91" s="1384"/>
      <c r="Q91" s="1384"/>
      <c r="R91" s="1863"/>
      <c r="S91" s="1384"/>
      <c r="T91" s="1384"/>
      <c r="U91" s="766"/>
      <c r="V91" s="1384"/>
      <c r="W91" s="1384"/>
      <c r="X91" s="1384"/>
      <c r="Y91" s="1384"/>
      <c r="Z91" s="1384"/>
      <c r="AA91" s="1859"/>
      <c r="AB91" s="788"/>
      <c r="AC91" s="788"/>
      <c r="AD91" s="788"/>
      <c r="AE91" s="788"/>
    </row>
    <row s="16671" customFormat="1" customHeight="1" ht="11.25">
      <c r="A92" s="1210"/>
      <c r="B92" s="1863"/>
      <c r="C92" s="1863"/>
      <c r="D92" s="573"/>
      <c r="K92" s="1384"/>
      <c r="L92" s="1863"/>
      <c r="M92" s="1863"/>
      <c r="N92" s="1384"/>
      <c r="O92" s="1384"/>
      <c r="P92" s="1384"/>
      <c r="Q92" s="1384"/>
      <c r="R92" s="1863"/>
      <c r="S92" s="1384"/>
      <c r="T92" s="1384"/>
      <c r="U92" s="766"/>
      <c r="V92" s="1384"/>
      <c r="W92" s="1384"/>
      <c r="X92" s="1384"/>
      <c r="Y92" s="1384"/>
      <c r="Z92" s="1384"/>
      <c r="AA92" s="1859"/>
      <c r="AB92" s="788"/>
      <c r="AC92" s="788"/>
      <c r="AD92" s="788"/>
      <c r="AE92" s="788"/>
    </row>
    <row s="16671" customFormat="1" customHeight="1" ht="11.25">
      <c r="A93" s="1210"/>
      <c r="B93" s="1863"/>
      <c r="C93" s="1863"/>
      <c r="D93" s="573"/>
      <c r="K93" s="1384"/>
      <c r="L93" s="1863"/>
      <c r="M93" s="1863"/>
      <c r="N93" s="1384"/>
      <c r="O93" s="1384"/>
      <c r="P93" s="1384"/>
      <c r="Q93" s="1384"/>
      <c r="R93" s="1863"/>
      <c r="S93" s="1384"/>
      <c r="T93" s="1384"/>
      <c r="U93" s="766"/>
      <c r="V93" s="1384"/>
      <c r="W93" s="1384"/>
      <c r="X93" s="1384"/>
      <c r="Y93" s="1384"/>
      <c r="Z93" s="1384"/>
      <c r="AA93" s="1859"/>
      <c r="AB93" s="788"/>
      <c r="AC93" s="788"/>
      <c r="AD93" s="788"/>
      <c r="AE93" s="788"/>
    </row>
    <row s="16671" customFormat="1" customHeight="1" ht="11.25">
      <c r="A94" s="1210"/>
      <c r="B94" s="1863"/>
      <c r="C94" s="1863"/>
      <c r="D94" s="573"/>
      <c r="K94" s="1384"/>
      <c r="L94" s="1863"/>
      <c r="M94" s="1863"/>
      <c r="N94" s="1384"/>
      <c r="O94" s="1384"/>
      <c r="P94" s="1384"/>
      <c r="Q94" s="1384"/>
      <c r="R94" s="1863"/>
      <c r="S94" s="1384"/>
      <c r="T94" s="1384"/>
      <c r="U94" s="766"/>
      <c r="V94" s="1384"/>
      <c r="W94" s="1384"/>
      <c r="X94" s="1384"/>
      <c r="Y94" s="1384"/>
      <c r="Z94" s="1384"/>
      <c r="AA94" s="1859"/>
      <c r="AB94" s="788"/>
      <c r="AC94" s="788"/>
      <c r="AD94" s="788"/>
      <c r="AE94" s="788"/>
    </row>
    <row s="16671" customFormat="1" customHeight="1" ht="11.25">
      <c r="A95" s="1210"/>
      <c r="B95" s="1863"/>
      <c r="C95" s="1863"/>
      <c r="D95" s="573"/>
      <c r="K95" s="1384"/>
      <c r="L95" s="1863"/>
      <c r="M95" s="1863"/>
      <c r="N95" s="1384"/>
      <c r="O95" s="1384"/>
      <c r="P95" s="1384"/>
      <c r="Q95" s="1384"/>
      <c r="R95" s="1863"/>
      <c r="S95" s="1384"/>
      <c r="T95" s="1384"/>
      <c r="U95" s="766"/>
      <c r="V95" s="1384"/>
      <c r="W95" s="1384"/>
      <c r="X95" s="1384"/>
      <c r="Y95" s="1384"/>
      <c r="Z95" s="1384"/>
      <c r="AA95" s="1859"/>
      <c r="AB95" s="788"/>
      <c r="AC95" s="788"/>
      <c r="AD95" s="788"/>
      <c r="AE95" s="788"/>
    </row>
    <row s="16671" customFormat="1" customHeight="1" ht="11.25">
      <c r="A96" s="1210"/>
      <c r="B96" s="1863"/>
      <c r="C96" s="1863"/>
      <c r="D96" s="573"/>
      <c r="K96" s="1384"/>
      <c r="L96" s="1863"/>
      <c r="M96" s="1863"/>
      <c r="N96" s="1384"/>
      <c r="O96" s="1384"/>
      <c r="P96" s="1384"/>
      <c r="Q96" s="1384"/>
      <c r="R96" s="1863"/>
      <c r="S96" s="1384"/>
      <c r="T96" s="1384"/>
      <c r="U96" s="766"/>
      <c r="V96" s="1384"/>
      <c r="W96" s="1384"/>
      <c r="X96" s="1384"/>
      <c r="Y96" s="1384"/>
      <c r="Z96" s="1384"/>
      <c r="AA96" s="1859"/>
      <c r="AB96" s="788"/>
      <c r="AC96" s="788"/>
      <c r="AD96" s="788"/>
      <c r="AE96" s="788"/>
    </row>
    <row s="16671" customFormat="1" customHeight="1" ht="11.25">
      <c r="A97" s="1210"/>
      <c r="B97" s="1863"/>
      <c r="C97" s="1863"/>
      <c r="D97" s="573"/>
      <c r="K97" s="1384"/>
      <c r="L97" s="1863"/>
      <c r="M97" s="1863"/>
      <c r="N97" s="1384"/>
      <c r="O97" s="1384"/>
      <c r="P97" s="1384"/>
      <c r="Q97" s="1384"/>
      <c r="R97" s="1863"/>
      <c r="S97" s="1384"/>
      <c r="T97" s="1384"/>
      <c r="U97" s="766"/>
      <c r="V97" s="1384"/>
      <c r="W97" s="1384"/>
      <c r="X97" s="1384"/>
      <c r="Y97" s="1384"/>
      <c r="Z97" s="1384"/>
      <c r="AA97" s="1859"/>
      <c r="AB97" s="788"/>
      <c r="AC97" s="788"/>
      <c r="AD97" s="788"/>
      <c r="AE97" s="788"/>
    </row>
    <row s="16671" customFormat="1" customHeight="1" ht="11.25">
      <c r="A98" s="1210"/>
      <c r="B98" s="1863"/>
      <c r="C98" s="1863"/>
      <c r="D98" s="573"/>
      <c r="K98" s="1384"/>
      <c r="L98" s="1863"/>
      <c r="M98" s="1863"/>
      <c r="N98" s="1384"/>
      <c r="O98" s="1384"/>
      <c r="P98" s="1384"/>
      <c r="Q98" s="1384"/>
      <c r="R98" s="1863"/>
      <c r="S98" s="1384"/>
      <c r="T98" s="1384"/>
      <c r="U98" s="766"/>
      <c r="V98" s="1384"/>
      <c r="W98" s="1384"/>
      <c r="X98" s="1384"/>
      <c r="Y98" s="1384"/>
      <c r="Z98" s="1384"/>
      <c r="AA98" s="1859"/>
      <c r="AB98" s="788"/>
      <c r="AC98" s="788"/>
      <c r="AD98" s="788"/>
      <c r="AE98" s="788"/>
    </row>
    <row s="16671" customFormat="1" customHeight="1" ht="11.25">
      <c r="A99" s="1210"/>
      <c r="B99" s="1863"/>
      <c r="C99" s="1863"/>
      <c r="D99" s="573"/>
      <c r="K99" s="1384"/>
      <c r="L99" s="1863"/>
      <c r="M99" s="1863"/>
      <c r="N99" s="1384"/>
      <c r="O99" s="1384"/>
      <c r="P99" s="1384"/>
      <c r="Q99" s="1384"/>
      <c r="R99" s="1863"/>
      <c r="S99" s="1384"/>
      <c r="T99" s="1384"/>
      <c r="U99" s="766"/>
      <c r="V99" s="1384"/>
      <c r="W99" s="1384"/>
      <c r="X99" s="1384"/>
      <c r="Y99" s="1384"/>
      <c r="Z99" s="1384"/>
      <c r="AA99" s="1859"/>
      <c r="AB99" s="788"/>
      <c r="AC99" s="788"/>
      <c r="AD99" s="788"/>
      <c r="AE99" s="788"/>
    </row>
    <row s="16671" customFormat="1" customHeight="1" ht="11.25">
      <c r="A100" s="1210"/>
      <c r="B100" s="1863"/>
      <c r="C100" s="1863"/>
      <c r="D100" s="573"/>
      <c r="K100" s="1384"/>
      <c r="L100" s="1863"/>
      <c r="M100" s="1863"/>
      <c r="N100" s="1384"/>
      <c r="O100" s="1384"/>
      <c r="P100" s="1384"/>
      <c r="Q100" s="1384"/>
      <c r="R100" s="1863"/>
      <c r="S100" s="1384"/>
      <c r="T100" s="1384"/>
      <c r="U100" s="766"/>
      <c r="V100" s="1384"/>
      <c r="W100" s="1384"/>
      <c r="X100" s="1384"/>
      <c r="Y100" s="1384"/>
      <c r="Z100" s="1384"/>
      <c r="AA100" s="1859"/>
      <c r="AB100" s="788"/>
      <c r="AC100" s="788"/>
      <c r="AD100" s="788"/>
      <c r="AE100" s="788"/>
    </row>
    <row s="16671" customFormat="1" customHeight="1" ht="11.25">
      <c r="A101" s="1210"/>
      <c r="B101" s="1863"/>
      <c r="C101" s="1863"/>
      <c r="D101" s="573"/>
      <c r="K101" s="1384"/>
      <c r="L101" s="1863"/>
      <c r="M101" s="1863"/>
      <c r="N101" s="1384"/>
      <c r="O101" s="1384"/>
      <c r="P101" s="1384"/>
      <c r="Q101" s="1384"/>
      <c r="R101" s="1863"/>
      <c r="S101" s="1384"/>
      <c r="T101" s="1384"/>
      <c r="U101" s="766"/>
      <c r="V101" s="1384"/>
      <c r="W101" s="1384"/>
      <c r="X101" s="1384"/>
      <c r="Y101" s="1384"/>
      <c r="Z101" s="1384"/>
      <c r="AA101" s="1859"/>
      <c r="AB101" s="788"/>
      <c r="AC101" s="788"/>
      <c r="AD101" s="788"/>
      <c r="AE101" s="788"/>
    </row>
    <row s="16671" customFormat="1" customHeight="1" ht="11.25">
      <c r="A102" s="1210"/>
      <c r="B102" s="1863"/>
      <c r="C102" s="1863"/>
      <c r="D102" s="573"/>
      <c r="K102" s="1384"/>
      <c r="L102" s="1863"/>
      <c r="M102" s="1863"/>
      <c r="N102" s="1384"/>
      <c r="O102" s="1384"/>
      <c r="P102" s="1384"/>
      <c r="Q102" s="1384"/>
      <c r="R102" s="1863"/>
      <c r="S102" s="1384"/>
      <c r="T102" s="1384"/>
      <c r="U102" s="766"/>
      <c r="V102" s="1384"/>
      <c r="W102" s="1384"/>
      <c r="X102" s="1384"/>
      <c r="Y102" s="1384"/>
      <c r="Z102" s="1384"/>
      <c r="AA102" s="1859"/>
      <c r="AB102" s="788"/>
      <c r="AC102" s="788"/>
      <c r="AD102" s="788"/>
      <c r="AE102" s="788"/>
    </row>
    <row s="16671" customFormat="1" customHeight="1" ht="11.25">
      <c r="A103" s="1210"/>
      <c r="B103" s="1863"/>
      <c r="C103" s="1863"/>
      <c r="D103" s="573"/>
      <c r="K103" s="1384"/>
      <c r="L103" s="1863"/>
      <c r="M103" s="1863"/>
      <c r="N103" s="1384"/>
      <c r="O103" s="1384"/>
      <c r="P103" s="1384"/>
      <c r="Q103" s="1384"/>
      <c r="R103" s="1863"/>
      <c r="S103" s="1384"/>
      <c r="T103" s="1384"/>
      <c r="U103" s="766"/>
      <c r="V103" s="1384"/>
      <c r="W103" s="1384"/>
      <c r="X103" s="1384"/>
      <c r="Y103" s="1384"/>
      <c r="Z103" s="1384"/>
      <c r="AA103" s="1859"/>
      <c r="AB103" s="788"/>
      <c r="AC103" s="788"/>
      <c r="AD103" s="788"/>
      <c r="AE103" s="788"/>
    </row>
    <row s="16671" customFormat="1" customHeight="1" ht="11.25">
      <c r="A104" s="1210"/>
      <c r="B104" s="1863"/>
      <c r="C104" s="1863"/>
      <c r="D104" s="573"/>
      <c r="K104" s="1384"/>
      <c r="L104" s="1863"/>
      <c r="M104" s="1863"/>
      <c r="N104" s="1384"/>
      <c r="O104" s="1384"/>
      <c r="P104" s="1384"/>
      <c r="Q104" s="1384"/>
      <c r="R104" s="1863"/>
      <c r="S104" s="1384"/>
      <c r="T104" s="1384"/>
      <c r="U104" s="766"/>
      <c r="V104" s="1384"/>
      <c r="W104" s="1384"/>
      <c r="X104" s="1384"/>
      <c r="Y104" s="1384"/>
      <c r="Z104" s="1384"/>
      <c r="AA104" s="1859"/>
      <c r="AB104" s="788"/>
      <c r="AC104" s="788"/>
      <c r="AD104" s="788"/>
      <c r="AE104" s="788"/>
    </row>
    <row s="16671" customFormat="1" customHeight="1" ht="11.25">
      <c r="A105" s="1210"/>
      <c r="B105" s="1863"/>
      <c r="C105" s="1863"/>
      <c r="D105" s="573"/>
      <c r="K105" s="1384"/>
      <c r="L105" s="1863"/>
      <c r="M105" s="1863"/>
      <c r="N105" s="1384"/>
      <c r="O105" s="1384"/>
      <c r="P105" s="1384"/>
      <c r="Q105" s="1384"/>
      <c r="R105" s="1863"/>
      <c r="S105" s="1384"/>
      <c r="T105" s="1384"/>
      <c r="U105" s="766"/>
      <c r="V105" s="1384"/>
      <c r="W105" s="1384"/>
      <c r="X105" s="1384"/>
      <c r="Y105" s="1384"/>
      <c r="Z105" s="1384"/>
      <c r="AA105" s="1859"/>
      <c r="AB105" s="788"/>
      <c r="AC105" s="788"/>
      <c r="AD105" s="788"/>
      <c r="AE105" s="788"/>
    </row>
    <row s="16671" customFormat="1" customHeight="1" ht="11.25">
      <c r="A106" s="1210"/>
      <c r="B106" s="1863"/>
      <c r="C106" s="1863"/>
      <c r="D106" s="573"/>
      <c r="K106" s="1384"/>
      <c r="L106" s="1863"/>
      <c r="M106" s="1863"/>
      <c r="N106" s="1384"/>
      <c r="O106" s="1384"/>
      <c r="P106" s="1384"/>
      <c r="Q106" s="1384"/>
      <c r="R106" s="1863"/>
      <c r="S106" s="1384"/>
      <c r="T106" s="1384"/>
      <c r="U106" s="766"/>
      <c r="V106" s="1384"/>
      <c r="W106" s="1384"/>
      <c r="X106" s="1384"/>
      <c r="Y106" s="1384"/>
      <c r="Z106" s="1384"/>
      <c r="AA106" s="1859"/>
      <c r="AB106" s="788"/>
      <c r="AC106" s="788"/>
      <c r="AD106" s="788"/>
      <c r="AE106" s="788"/>
    </row>
    <row s="16671" customFormat="1" customHeight="1" ht="11.25">
      <c r="A107" s="1210"/>
      <c r="B107" s="1863"/>
      <c r="C107" s="1863"/>
      <c r="D107" s="573"/>
      <c r="K107" s="1384"/>
      <c r="L107" s="1863"/>
      <c r="M107" s="1863"/>
      <c r="N107" s="1384"/>
      <c r="O107" s="1384"/>
      <c r="P107" s="1384"/>
      <c r="Q107" s="1384"/>
      <c r="R107" s="1863"/>
      <c r="S107" s="1384"/>
      <c r="T107" s="1384"/>
      <c r="U107" s="766"/>
      <c r="V107" s="1384"/>
      <c r="W107" s="1384"/>
      <c r="X107" s="1384"/>
      <c r="Y107" s="1384"/>
      <c r="Z107" s="1384"/>
      <c r="AA107" s="1859"/>
      <c r="AB107" s="788"/>
      <c r="AC107" s="788"/>
      <c r="AD107" s="788"/>
      <c r="AE107" s="788"/>
    </row>
    <row s="16671" customFormat="1" customHeight="1" ht="11.25">
      <c r="A108" s="1210"/>
      <c r="B108" s="1863"/>
      <c r="C108" s="1863"/>
      <c r="D108" s="573"/>
      <c r="K108" s="1384"/>
      <c r="L108" s="1863"/>
      <c r="M108" s="1863"/>
      <c r="N108" s="1384"/>
      <c r="O108" s="1384"/>
      <c r="P108" s="1384"/>
      <c r="Q108" s="1384"/>
      <c r="R108" s="1863"/>
      <c r="S108" s="1384"/>
      <c r="T108" s="1384"/>
      <c r="U108" s="766"/>
      <c r="V108" s="1384"/>
      <c r="W108" s="1384"/>
      <c r="X108" s="1384"/>
      <c r="Y108" s="1384"/>
      <c r="Z108" s="1384"/>
      <c r="AA108" s="1859"/>
      <c r="AB108" s="788"/>
      <c r="AC108" s="788"/>
      <c r="AD108" s="788"/>
      <c r="AE108" s="788"/>
    </row>
    <row s="16671" customFormat="1" customHeight="1" ht="11.25">
      <c r="A109" s="1210"/>
      <c r="B109" s="1863"/>
      <c r="C109" s="1863"/>
      <c r="D109" s="573"/>
      <c r="K109" s="1384"/>
      <c r="L109" s="1863"/>
      <c r="M109" s="1863"/>
      <c r="N109" s="1384"/>
      <c r="O109" s="1384"/>
      <c r="P109" s="1384"/>
      <c r="Q109" s="1384"/>
      <c r="R109" s="1863"/>
      <c r="S109" s="1384"/>
      <c r="T109" s="1384"/>
      <c r="U109" s="766"/>
      <c r="V109" s="1384"/>
      <c r="W109" s="1384"/>
      <c r="X109" s="1384"/>
      <c r="Y109" s="1384"/>
      <c r="Z109" s="1384"/>
      <c r="AA109" s="1859"/>
      <c r="AB109" s="788"/>
      <c r="AC109" s="788"/>
      <c r="AD109" s="788"/>
      <c r="AE109" s="788"/>
    </row>
    <row s="16671" customFormat="1" customHeight="1" ht="11.25">
      <c r="A110" s="1210"/>
      <c r="B110" s="1863"/>
      <c r="C110" s="1863"/>
      <c r="D110" s="573"/>
      <c r="K110" s="1384"/>
      <c r="L110" s="1863"/>
      <c r="M110" s="1863"/>
      <c r="N110" s="1384"/>
      <c r="O110" s="1384"/>
      <c r="P110" s="1384"/>
      <c r="Q110" s="1384"/>
      <c r="R110" s="1863"/>
      <c r="S110" s="1384"/>
      <c r="T110" s="1384"/>
      <c r="U110" s="766"/>
      <c r="V110" s="1384"/>
      <c r="W110" s="1384"/>
      <c r="X110" s="1384"/>
      <c r="Y110" s="1384"/>
      <c r="Z110" s="1384"/>
      <c r="AA110" s="1859"/>
      <c r="AB110" s="788"/>
      <c r="AC110" s="788"/>
      <c r="AD110" s="788"/>
      <c r="AE110" s="788"/>
    </row>
    <row s="16671" customFormat="1" customHeight="1" ht="11.25">
      <c r="A111" s="1210"/>
      <c r="B111" s="1863"/>
      <c r="C111" s="1863"/>
      <c r="D111" s="573"/>
      <c r="K111" s="1384"/>
      <c r="L111" s="1863"/>
      <c r="M111" s="1863"/>
      <c r="N111" s="1384"/>
      <c r="O111" s="1384"/>
      <c r="P111" s="1384"/>
      <c r="Q111" s="1384"/>
      <c r="R111" s="1863"/>
      <c r="S111" s="1384"/>
      <c r="T111" s="1384"/>
      <c r="U111" s="766"/>
      <c r="V111" s="1384"/>
      <c r="W111" s="1384"/>
      <c r="X111" s="1384"/>
      <c r="Y111" s="1384"/>
      <c r="Z111" s="1384"/>
      <c r="AA111" s="1859"/>
      <c r="AB111" s="788"/>
      <c r="AC111" s="788"/>
      <c r="AD111" s="788"/>
      <c r="AE111" s="788"/>
    </row>
    <row s="16671" customFormat="1" customHeight="1" ht="11.25">
      <c r="A112" s="1210"/>
      <c r="B112" s="1863"/>
      <c r="C112" s="1863"/>
      <c r="D112" s="573"/>
      <c r="K112" s="1384"/>
      <c r="L112" s="1863"/>
      <c r="M112" s="1863"/>
      <c r="N112" s="1384"/>
      <c r="O112" s="1384"/>
      <c r="P112" s="1384"/>
      <c r="Q112" s="1384"/>
      <c r="R112" s="1863"/>
      <c r="S112" s="1384"/>
      <c r="T112" s="1384"/>
      <c r="U112" s="766"/>
      <c r="V112" s="1384"/>
      <c r="W112" s="1384"/>
      <c r="X112" s="1384"/>
      <c r="Y112" s="1384"/>
      <c r="Z112" s="1384"/>
      <c r="AA112" s="1859"/>
      <c r="AB112" s="788"/>
      <c r="AC112" s="788"/>
      <c r="AD112" s="788"/>
      <c r="AE112" s="788"/>
    </row>
    <row s="16671" customFormat="1" customHeight="1" ht="11.25">
      <c r="A113" s="1210"/>
      <c r="B113" s="1863"/>
      <c r="C113" s="1863"/>
      <c r="D113" s="573"/>
      <c r="K113" s="1384"/>
      <c r="L113" s="1863"/>
      <c r="M113" s="1863"/>
      <c r="N113" s="1384"/>
      <c r="O113" s="1384"/>
      <c r="P113" s="1384"/>
      <c r="Q113" s="1384"/>
      <c r="R113" s="1863"/>
      <c r="S113" s="1384"/>
      <c r="T113" s="1384"/>
      <c r="U113" s="766"/>
      <c r="V113" s="1384"/>
      <c r="W113" s="1384"/>
      <c r="X113" s="1384"/>
      <c r="Y113" s="1384"/>
      <c r="Z113" s="1384"/>
      <c r="AA113" s="1859"/>
      <c r="AB113" s="788"/>
      <c r="AC113" s="788"/>
      <c r="AD113" s="788"/>
      <c r="AE113" s="788"/>
    </row>
    <row s="16671" customFormat="1" customHeight="1" ht="11.25">
      <c r="A114" s="1210"/>
      <c r="B114" s="1863"/>
      <c r="C114" s="1863"/>
      <c r="D114" s="573"/>
      <c r="K114" s="1384"/>
      <c r="L114" s="1863"/>
      <c r="M114" s="1863"/>
      <c r="N114" s="1384"/>
      <c r="O114" s="1384"/>
      <c r="P114" s="1384"/>
      <c r="Q114" s="1384"/>
      <c r="R114" s="1863"/>
      <c r="S114" s="1384"/>
      <c r="T114" s="1384"/>
      <c r="U114" s="766"/>
      <c r="V114" s="1384"/>
      <c r="W114" s="1384"/>
      <c r="X114" s="1384"/>
      <c r="Y114" s="1384"/>
      <c r="Z114" s="1384"/>
      <c r="AA114" s="1859"/>
      <c r="AB114" s="788"/>
      <c r="AC114" s="788"/>
      <c r="AD114" s="788"/>
      <c r="AE114" s="788"/>
    </row>
    <row s="16671" customFormat="1" customHeight="1" ht="11.25">
      <c r="A115" s="1210"/>
      <c r="B115" s="1863"/>
      <c r="C115" s="1863"/>
      <c r="D115" s="573"/>
      <c r="K115" s="1384"/>
      <c r="L115" s="1863"/>
      <c r="M115" s="1863"/>
      <c r="N115" s="1384"/>
      <c r="O115" s="1384"/>
      <c r="P115" s="1384"/>
      <c r="Q115" s="1384"/>
      <c r="R115" s="1863"/>
      <c r="S115" s="1384"/>
      <c r="T115" s="1384"/>
      <c r="U115" s="766"/>
      <c r="V115" s="1384"/>
      <c r="W115" s="1384"/>
      <c r="X115" s="1384"/>
      <c r="Y115" s="1384"/>
      <c r="Z115" s="1384"/>
      <c r="AA115" s="1859"/>
      <c r="AB115" s="788"/>
      <c r="AC115" s="788"/>
      <c r="AD115" s="788"/>
      <c r="AE115" s="788"/>
    </row>
    <row s="16671" customFormat="1" customHeight="1" ht="11.25">
      <c r="A116" s="1210"/>
      <c r="B116" s="1863"/>
      <c r="C116" s="1863"/>
      <c r="D116" s="573"/>
      <c r="K116" s="1384"/>
      <c r="L116" s="1863"/>
      <c r="M116" s="1863"/>
      <c r="N116" s="1384"/>
      <c r="O116" s="1384"/>
      <c r="P116" s="1384"/>
      <c r="Q116" s="1384"/>
      <c r="R116" s="1863"/>
      <c r="S116" s="1384"/>
      <c r="T116" s="1384"/>
      <c r="U116" s="766"/>
      <c r="V116" s="1384"/>
      <c r="W116" s="1384"/>
      <c r="X116" s="1384"/>
      <c r="Y116" s="1384"/>
      <c r="Z116" s="1384"/>
      <c r="AA116" s="1859"/>
      <c r="AB116" s="788"/>
      <c r="AC116" s="788"/>
      <c r="AD116" s="788"/>
      <c r="AE116" s="788"/>
    </row>
    <row s="16671" customFormat="1" customHeight="1" ht="11.25">
      <c r="A117" s="1210"/>
      <c r="B117" s="1863"/>
      <c r="C117" s="1863"/>
      <c r="D117" s="573"/>
      <c r="K117" s="1384"/>
      <c r="L117" s="1863"/>
      <c r="M117" s="1863"/>
      <c r="N117" s="1384"/>
      <c r="O117" s="1384"/>
      <c r="P117" s="1384"/>
      <c r="Q117" s="1384"/>
      <c r="R117" s="1863"/>
      <c r="S117" s="1384"/>
      <c r="T117" s="1384"/>
      <c r="U117" s="766"/>
      <c r="V117" s="1384"/>
      <c r="W117" s="1384"/>
      <c r="X117" s="1384"/>
      <c r="Y117" s="1384"/>
      <c r="Z117" s="1384"/>
      <c r="AA117" s="1859"/>
      <c r="AB117" s="788"/>
      <c r="AC117" s="788"/>
      <c r="AD117" s="788"/>
      <c r="AE117" s="788"/>
    </row>
    <row s="16671" customFormat="1" customHeight="1" ht="11.25">
      <c r="A118" s="1210"/>
      <c r="B118" s="1863"/>
      <c r="C118" s="1863"/>
      <c r="D118" s="573"/>
      <c r="K118" s="1384"/>
      <c r="L118" s="1863"/>
      <c r="M118" s="1863"/>
      <c r="N118" s="1384"/>
      <c r="O118" s="1384"/>
      <c r="P118" s="1384"/>
      <c r="Q118" s="1384"/>
      <c r="R118" s="1863"/>
      <c r="S118" s="1384"/>
      <c r="T118" s="1384"/>
      <c r="U118" s="766"/>
      <c r="V118" s="1384"/>
      <c r="W118" s="1384"/>
      <c r="X118" s="1384"/>
      <c r="Y118" s="1384"/>
      <c r="Z118" s="1384"/>
      <c r="AA118" s="1859"/>
      <c r="AB118" s="788"/>
      <c r="AC118" s="788"/>
      <c r="AD118" s="788"/>
      <c r="AE118" s="788"/>
    </row>
    <row s="16671" customFormat="1" customHeight="1" ht="11.25">
      <c r="A119" s="1210"/>
      <c r="B119" s="1863"/>
      <c r="C119" s="1863"/>
      <c r="D119" s="573"/>
      <c r="K119" s="1384"/>
      <c r="L119" s="1863"/>
      <c r="M119" s="1863"/>
      <c r="N119" s="1384"/>
      <c r="O119" s="1384"/>
      <c r="P119" s="1384"/>
      <c r="Q119" s="1384"/>
      <c r="R119" s="1863"/>
      <c r="S119" s="1384"/>
      <c r="T119" s="1384"/>
      <c r="U119" s="766"/>
      <c r="V119" s="1384"/>
      <c r="W119" s="1384"/>
      <c r="X119" s="1384"/>
      <c r="Y119" s="1384"/>
      <c r="Z119" s="1384"/>
      <c r="AA119" s="1859"/>
      <c r="AB119" s="788"/>
      <c r="AC119" s="788"/>
      <c r="AD119" s="788"/>
      <c r="AE119" s="788"/>
    </row>
    <row s="16671" customFormat="1" customHeight="1" ht="11.25">
      <c r="A120" s="1210"/>
      <c r="B120" s="1863"/>
      <c r="C120" s="1863"/>
      <c r="D120" s="573"/>
      <c r="K120" s="1384"/>
      <c r="L120" s="1863"/>
      <c r="M120" s="1863"/>
      <c r="N120" s="1384"/>
      <c r="O120" s="1384"/>
      <c r="P120" s="1384"/>
      <c r="Q120" s="1384"/>
      <c r="R120" s="1863"/>
      <c r="S120" s="1384"/>
      <c r="T120" s="1384"/>
      <c r="U120" s="766"/>
      <c r="V120" s="1384"/>
      <c r="W120" s="1384"/>
      <c r="X120" s="1384"/>
      <c r="Y120" s="1384"/>
      <c r="Z120" s="1384"/>
      <c r="AA120" s="1859"/>
      <c r="AB120" s="788"/>
      <c r="AC120" s="788"/>
      <c r="AD120" s="788"/>
      <c r="AE120" s="788"/>
    </row>
    <row s="16671" customFormat="1" customHeight="1" ht="11.25">
      <c r="A121" s="1210"/>
      <c r="B121" s="1863"/>
      <c r="C121" s="1863"/>
      <c r="D121" s="573"/>
      <c r="K121" s="1384"/>
      <c r="L121" s="1863"/>
      <c r="M121" s="1863"/>
      <c r="N121" s="1384"/>
      <c r="O121" s="1384"/>
      <c r="P121" s="1384"/>
      <c r="Q121" s="1384"/>
      <c r="R121" s="1863"/>
      <c r="S121" s="1384"/>
      <c r="T121" s="1384"/>
      <c r="U121" s="766"/>
      <c r="V121" s="1384"/>
      <c r="W121" s="1384"/>
      <c r="X121" s="1384"/>
      <c r="Y121" s="1384"/>
      <c r="Z121" s="1384"/>
      <c r="AA121" s="1859"/>
      <c r="AB121" s="788"/>
      <c r="AC121" s="788"/>
      <c r="AD121" s="788"/>
      <c r="AE121" s="788"/>
    </row>
    <row s="16671" customFormat="1" customHeight="1" ht="11.25">
      <c r="A122" s="1210"/>
      <c r="B122" s="1863"/>
      <c r="C122" s="1863"/>
      <c r="D122" s="573"/>
      <c r="K122" s="1384"/>
      <c r="L122" s="1863"/>
      <c r="M122" s="1863"/>
      <c r="N122" s="1384"/>
      <c r="O122" s="1384"/>
      <c r="P122" s="1384"/>
      <c r="Q122" s="1384"/>
      <c r="R122" s="1863"/>
      <c r="S122" s="1384"/>
      <c r="T122" s="1384"/>
      <c r="U122" s="766"/>
      <c r="V122" s="1384"/>
      <c r="W122" s="1384"/>
      <c r="X122" s="1384"/>
      <c r="Y122" s="1384"/>
      <c r="Z122" s="1384"/>
      <c r="AA122" s="1859"/>
      <c r="AB122" s="788"/>
      <c r="AC122" s="788"/>
      <c r="AD122" s="788"/>
      <c r="AE122" s="788"/>
    </row>
    <row s="16671" customFormat="1" customHeight="1" ht="11.25">
      <c r="A123" s="1210"/>
      <c r="B123" s="1863"/>
      <c r="C123" s="1863"/>
      <c r="D123" s="573"/>
      <c r="K123" s="1384"/>
      <c r="L123" s="1863"/>
      <c r="M123" s="1863"/>
      <c r="N123" s="1384"/>
      <c r="O123" s="1384"/>
      <c r="P123" s="1384"/>
      <c r="Q123" s="1384"/>
      <c r="R123" s="1863"/>
      <c r="S123" s="1384"/>
      <c r="T123" s="1384"/>
      <c r="U123" s="766"/>
      <c r="V123" s="1384"/>
      <c r="W123" s="1384"/>
      <c r="X123" s="1384"/>
      <c r="Y123" s="1384"/>
      <c r="Z123" s="1384"/>
      <c r="AA123" s="1859"/>
      <c r="AB123" s="788"/>
      <c r="AC123" s="788"/>
      <c r="AD123" s="788"/>
      <c r="AE123" s="788"/>
    </row>
    <row s="16671" customFormat="1" customHeight="1" ht="11.25">
      <c r="A124" s="1210"/>
      <c r="B124" s="1863"/>
      <c r="C124" s="1863"/>
      <c r="D124" s="573"/>
      <c r="K124" s="1384"/>
      <c r="L124" s="1863"/>
      <c r="M124" s="1863"/>
      <c r="N124" s="1384"/>
      <c r="O124" s="1384"/>
      <c r="P124" s="1384"/>
      <c r="Q124" s="1384"/>
      <c r="R124" s="1863"/>
      <c r="S124" s="1384"/>
      <c r="T124" s="1384"/>
      <c r="U124" s="766"/>
      <c r="V124" s="1384"/>
      <c r="W124" s="1384"/>
      <c r="X124" s="1384"/>
      <c r="Y124" s="1384"/>
      <c r="Z124" s="1384"/>
      <c r="AA124" s="1859"/>
      <c r="AB124" s="788"/>
      <c r="AC124" s="788"/>
      <c r="AD124" s="788"/>
      <c r="AE124" s="788"/>
    </row>
    <row s="16671" customFormat="1" customHeight="1" ht="11.25">
      <c r="A125" s="1210"/>
      <c r="B125" s="1863"/>
      <c r="C125" s="1863"/>
      <c r="D125" s="573"/>
      <c r="K125" s="1384"/>
      <c r="L125" s="1863"/>
      <c r="M125" s="1863"/>
      <c r="N125" s="1384"/>
      <c r="O125" s="1384"/>
      <c r="P125" s="1384"/>
      <c r="Q125" s="1384"/>
      <c r="R125" s="1863"/>
      <c r="S125" s="1384"/>
      <c r="T125" s="1384"/>
      <c r="U125" s="766"/>
      <c r="V125" s="1384"/>
      <c r="W125" s="1384"/>
      <c r="X125" s="1384"/>
      <c r="Y125" s="1384"/>
      <c r="Z125" s="1384"/>
      <c r="AA125" s="1859"/>
      <c r="AB125" s="788"/>
      <c r="AC125" s="788"/>
      <c r="AD125" s="788"/>
      <c r="AE125" s="788"/>
    </row>
    <row s="16671" customFormat="1" customHeight="1" ht="11.25">
      <c r="A126" s="1210"/>
      <c r="B126" s="1863"/>
      <c r="C126" s="1863"/>
      <c r="D126" s="573"/>
      <c r="K126" s="1384"/>
      <c r="L126" s="1863"/>
      <c r="M126" s="1863"/>
      <c r="N126" s="1384"/>
      <c r="O126" s="1384"/>
      <c r="P126" s="1384"/>
      <c r="Q126" s="1384"/>
      <c r="R126" s="1863"/>
      <c r="S126" s="1384"/>
      <c r="T126" s="1384"/>
      <c r="U126" s="766"/>
      <c r="V126" s="1384"/>
      <c r="W126" s="1384"/>
      <c r="X126" s="1384"/>
      <c r="Y126" s="1384"/>
      <c r="Z126" s="1384"/>
      <c r="AA126" s="1859"/>
      <c r="AB126" s="788"/>
      <c r="AC126" s="788"/>
      <c r="AD126" s="788"/>
      <c r="AE126" s="788"/>
    </row>
    <row s="16671" customFormat="1" customHeight="1" ht="11.25">
      <c r="A127" s="1210"/>
      <c r="B127" s="1863"/>
      <c r="C127" s="1863"/>
      <c r="D127" s="573"/>
      <c r="K127" s="1384"/>
      <c r="L127" s="1863"/>
      <c r="M127" s="1863"/>
      <c r="N127" s="1384"/>
      <c r="O127" s="1384"/>
      <c r="P127" s="1384"/>
      <c r="Q127" s="1384"/>
      <c r="R127" s="1863"/>
      <c r="S127" s="1384"/>
      <c r="T127" s="1384"/>
      <c r="U127" s="766"/>
      <c r="V127" s="1384"/>
      <c r="W127" s="1384"/>
      <c r="X127" s="1384"/>
      <c r="Y127" s="1384"/>
      <c r="Z127" s="1384"/>
      <c r="AA127" s="1859"/>
      <c r="AB127" s="788"/>
      <c r="AC127" s="788"/>
      <c r="AD127" s="788"/>
      <c r="AE127" s="788"/>
    </row>
    <row s="16671" customFormat="1" customHeight="1" ht="11.25">
      <c r="A128" s="1210"/>
      <c r="B128" s="1863"/>
      <c r="C128" s="1863"/>
      <c r="D128" s="573"/>
      <c r="K128" s="1384"/>
      <c r="L128" s="1863"/>
      <c r="M128" s="1863"/>
      <c r="N128" s="1384"/>
      <c r="O128" s="1384"/>
      <c r="P128" s="1384"/>
      <c r="Q128" s="1384"/>
      <c r="R128" s="1863"/>
      <c r="S128" s="1384"/>
      <c r="T128" s="1384"/>
      <c r="U128" s="766"/>
      <c r="V128" s="1384"/>
      <c r="W128" s="1384"/>
      <c r="X128" s="1384"/>
      <c r="Y128" s="1384"/>
      <c r="Z128" s="1384"/>
      <c r="AA128" s="1859"/>
      <c r="AB128" s="788"/>
      <c r="AC128" s="788"/>
      <c r="AD128" s="788"/>
      <c r="AE128" s="788"/>
    </row>
    <row s="16671" customFormat="1" customHeight="1" ht="11.25">
      <c r="A129" s="1210"/>
      <c r="B129" s="1863"/>
      <c r="C129" s="1863"/>
      <c r="D129" s="573"/>
      <c r="K129" s="1384"/>
      <c r="L129" s="1863"/>
      <c r="M129" s="1863"/>
      <c r="N129" s="1384"/>
      <c r="O129" s="1384"/>
      <c r="P129" s="1384"/>
      <c r="Q129" s="1384"/>
      <c r="R129" s="1863"/>
      <c r="S129" s="1384"/>
      <c r="T129" s="1384"/>
      <c r="U129" s="766"/>
      <c r="V129" s="1384"/>
      <c r="W129" s="1384"/>
      <c r="X129" s="1384"/>
      <c r="Y129" s="1384"/>
      <c r="Z129" s="1384"/>
      <c r="AA129" s="1859"/>
      <c r="AB129" s="788"/>
      <c r="AC129" s="788"/>
      <c r="AD129" s="788"/>
      <c r="AE129" s="788"/>
    </row>
    <row s="16671" customFormat="1" customHeight="1" ht="11.25">
      <c r="A130" s="1210"/>
      <c r="B130" s="1863"/>
      <c r="C130" s="1863"/>
      <c r="D130" s="573"/>
      <c r="K130" s="1384"/>
      <c r="L130" s="1863"/>
      <c r="M130" s="1863"/>
      <c r="N130" s="1384"/>
      <c r="O130" s="1384"/>
      <c r="P130" s="1384"/>
      <c r="Q130" s="1384"/>
      <c r="R130" s="1863"/>
      <c r="S130" s="1384"/>
      <c r="T130" s="1384"/>
      <c r="U130" s="766"/>
      <c r="V130" s="1384"/>
      <c r="W130" s="1384"/>
      <c r="X130" s="1384"/>
      <c r="Y130" s="1384"/>
      <c r="Z130" s="1384"/>
      <c r="AA130" s="1859"/>
      <c r="AB130" s="788"/>
      <c r="AC130" s="788"/>
      <c r="AD130" s="788"/>
      <c r="AE130" s="788"/>
    </row>
    <row s="16671" customFormat="1" customHeight="1" ht="11.25">
      <c r="A131" s="1210"/>
      <c r="B131" s="1863"/>
      <c r="C131" s="1863"/>
      <c r="D131" s="573"/>
      <c r="K131" s="1384"/>
      <c r="L131" s="1863"/>
      <c r="M131" s="1863"/>
      <c r="N131" s="1384"/>
      <c r="O131" s="1384"/>
      <c r="P131" s="1384"/>
      <c r="Q131" s="1384"/>
      <c r="R131" s="1863"/>
      <c r="S131" s="1384"/>
      <c r="T131" s="1384"/>
      <c r="U131" s="766"/>
      <c r="V131" s="1384"/>
      <c r="W131" s="1384"/>
      <c r="X131" s="1384"/>
      <c r="Y131" s="1384"/>
      <c r="Z131" s="1384"/>
      <c r="AA131" s="1859"/>
      <c r="AB131" s="788"/>
      <c r="AC131" s="788"/>
      <c r="AD131" s="788"/>
      <c r="AE131" s="788"/>
    </row>
    <row s="16671" customFormat="1" customHeight="1" ht="11.25">
      <c r="A132" s="1210"/>
      <c r="B132" s="1863"/>
      <c r="C132" s="1863"/>
      <c r="D132" s="573"/>
      <c r="K132" s="1384"/>
      <c r="L132" s="1863"/>
      <c r="M132" s="1863"/>
      <c r="N132" s="1384"/>
      <c r="O132" s="1384"/>
      <c r="P132" s="1384"/>
      <c r="Q132" s="1384"/>
      <c r="R132" s="1863"/>
      <c r="S132" s="1384"/>
      <c r="T132" s="1384"/>
      <c r="U132" s="766"/>
      <c r="V132" s="1384"/>
      <c r="W132" s="1384"/>
      <c r="X132" s="1384"/>
      <c r="Y132" s="1384"/>
      <c r="Z132" s="1384"/>
      <c r="AA132" s="1859"/>
      <c r="AB132" s="788"/>
      <c r="AC132" s="788"/>
      <c r="AD132" s="788"/>
      <c r="AE132" s="788"/>
    </row>
    <row s="16671" customFormat="1" customHeight="1" ht="11.25">
      <c r="A133" s="1210"/>
      <c r="B133" s="1863"/>
      <c r="C133" s="1863"/>
      <c r="D133" s="573"/>
      <c r="K133" s="1384"/>
      <c r="L133" s="1863"/>
      <c r="M133" s="1863"/>
      <c r="N133" s="1384"/>
      <c r="O133" s="1384"/>
      <c r="P133" s="1384"/>
      <c r="Q133" s="1384"/>
      <c r="R133" s="1863"/>
      <c r="S133" s="1384"/>
      <c r="T133" s="1384"/>
      <c r="U133" s="766"/>
      <c r="V133" s="1384"/>
      <c r="W133" s="1384"/>
      <c r="X133" s="1384"/>
      <c r="Y133" s="1384"/>
      <c r="Z133" s="1384"/>
      <c r="AA133" s="1859"/>
      <c r="AB133" s="788"/>
      <c r="AC133" s="788"/>
      <c r="AD133" s="788"/>
      <c r="AE133" s="788"/>
    </row>
    <row s="16671" customFormat="1" customHeight="1" ht="11.25">
      <c r="A134" s="1210"/>
      <c r="B134" s="1863"/>
      <c r="C134" s="1863"/>
      <c r="D134" s="573"/>
      <c r="K134" s="1384"/>
      <c r="L134" s="1863"/>
      <c r="M134" s="1863"/>
      <c r="N134" s="1384"/>
      <c r="O134" s="1384"/>
      <c r="P134" s="1384"/>
      <c r="Q134" s="1384"/>
      <c r="R134" s="1863"/>
      <c r="S134" s="1384"/>
      <c r="T134" s="1384"/>
      <c r="U134" s="766"/>
      <c r="V134" s="1384"/>
      <c r="W134" s="1384"/>
      <c r="X134" s="1384"/>
      <c r="Y134" s="1384"/>
      <c r="Z134" s="1384"/>
      <c r="AA134" s="1859"/>
      <c r="AB134" s="788"/>
      <c r="AC134" s="788"/>
      <c r="AD134" s="788"/>
      <c r="AE134" s="788"/>
    </row>
    <row s="16671" customFormat="1" customHeight="1" ht="11.25">
      <c r="A135" s="1210"/>
      <c r="B135" s="1863"/>
      <c r="C135" s="1863"/>
      <c r="D135" s="573"/>
      <c r="K135" s="1384"/>
      <c r="L135" s="1863"/>
      <c r="M135" s="1863"/>
      <c r="N135" s="1384"/>
      <c r="O135" s="1384"/>
      <c r="P135" s="1384"/>
      <c r="Q135" s="1384"/>
      <c r="R135" s="1863"/>
      <c r="S135" s="1384"/>
      <c r="T135" s="1384"/>
      <c r="U135" s="766"/>
      <c r="V135" s="1384"/>
      <c r="W135" s="1384"/>
      <c r="X135" s="1384"/>
      <c r="Y135" s="1384"/>
      <c r="Z135" s="1384"/>
      <c r="AA135" s="1859"/>
      <c r="AB135" s="788"/>
      <c r="AC135" s="788"/>
      <c r="AD135" s="788"/>
      <c r="AE135" s="788"/>
    </row>
    <row s="16671" customFormat="1" customHeight="1" ht="11.25">
      <c r="A136" s="1210"/>
      <c r="B136" s="1863"/>
      <c r="C136" s="1863"/>
      <c r="D136" s="573"/>
      <c r="K136" s="1384"/>
      <c r="L136" s="1863"/>
      <c r="M136" s="1863"/>
      <c r="N136" s="1384"/>
      <c r="O136" s="1384"/>
      <c r="P136" s="1384"/>
      <c r="Q136" s="1384"/>
      <c r="R136" s="1863"/>
      <c r="S136" s="1384"/>
      <c r="T136" s="1384"/>
      <c r="U136" s="766"/>
      <c r="V136" s="1384"/>
      <c r="W136" s="1384"/>
      <c r="X136" s="1384"/>
      <c r="Y136" s="1384"/>
      <c r="Z136" s="1384"/>
      <c r="AA136" s="1859"/>
      <c r="AB136" s="788"/>
      <c r="AC136" s="788"/>
      <c r="AD136" s="788"/>
      <c r="AE136" s="788"/>
    </row>
    <row s="16671" customFormat="1" customHeight="1" ht="11.25">
      <c r="A137" s="1210"/>
      <c r="B137" s="1863"/>
      <c r="C137" s="1863"/>
      <c r="D137" s="573"/>
      <c r="K137" s="1384"/>
      <c r="L137" s="1863"/>
      <c r="M137" s="1863"/>
      <c r="N137" s="1384"/>
      <c r="O137" s="1384"/>
      <c r="P137" s="1384"/>
      <c r="Q137" s="1384"/>
      <c r="R137" s="1863"/>
      <c r="S137" s="1384"/>
      <c r="T137" s="1384"/>
      <c r="U137" s="766"/>
      <c r="V137" s="1384"/>
      <c r="W137" s="1384"/>
      <c r="X137" s="1384"/>
      <c r="Y137" s="1384"/>
      <c r="Z137" s="1384"/>
      <c r="AA137" s="1859"/>
      <c r="AB137" s="788"/>
      <c r="AC137" s="788"/>
      <c r="AD137" s="788"/>
      <c r="AE137" s="788"/>
    </row>
    <row s="16671" customFormat="1" customHeight="1" ht="11.25">
      <c r="A138" s="1210"/>
      <c r="B138" s="1863"/>
      <c r="C138" s="1863"/>
      <c r="D138" s="573"/>
      <c r="K138" s="1384"/>
      <c r="L138" s="1863"/>
      <c r="M138" s="1863"/>
      <c r="N138" s="1384"/>
      <c r="O138" s="1384"/>
      <c r="P138" s="1384"/>
      <c r="Q138" s="1384"/>
      <c r="R138" s="1863"/>
      <c r="S138" s="1384"/>
      <c r="T138" s="1384"/>
      <c r="U138" s="766"/>
      <c r="V138" s="1384"/>
      <c r="W138" s="1384"/>
      <c r="X138" s="1384"/>
      <c r="Y138" s="1384"/>
      <c r="Z138" s="1384"/>
      <c r="AA138" s="1859"/>
      <c r="AB138" s="788"/>
      <c r="AC138" s="788"/>
      <c r="AD138" s="788"/>
      <c r="AE138" s="788"/>
    </row>
    <row s="16671" customFormat="1" customHeight="1" ht="11.25">
      <c r="A139" s="1210"/>
      <c r="B139" s="1863"/>
      <c r="C139" s="1863"/>
      <c r="D139" s="573"/>
      <c r="K139" s="1384"/>
      <c r="L139" s="1863"/>
      <c r="M139" s="1863"/>
      <c r="N139" s="1384"/>
      <c r="O139" s="1384"/>
      <c r="P139" s="1384"/>
      <c r="Q139" s="1384"/>
      <c r="R139" s="1863"/>
      <c r="S139" s="1384"/>
      <c r="T139" s="1384"/>
      <c r="U139" s="766"/>
      <c r="V139" s="1384"/>
      <c r="W139" s="1384"/>
      <c r="X139" s="1384"/>
      <c r="Y139" s="1384"/>
      <c r="Z139" s="1384"/>
      <c r="AA139" s="1859"/>
      <c r="AB139" s="788"/>
      <c r="AC139" s="788"/>
      <c r="AD139" s="788"/>
      <c r="AE139" s="788"/>
    </row>
    <row s="16671" customFormat="1" customHeight="1" ht="11.25">
      <c r="A140" s="1210"/>
      <c r="B140" s="1863"/>
      <c r="C140" s="1863"/>
      <c r="D140" s="573"/>
      <c r="K140" s="1384"/>
      <c r="L140" s="1863"/>
      <c r="M140" s="1863"/>
      <c r="N140" s="1384"/>
      <c r="O140" s="1384"/>
      <c r="P140" s="1384"/>
      <c r="Q140" s="1384"/>
      <c r="R140" s="1863"/>
      <c r="S140" s="1384"/>
      <c r="T140" s="1384"/>
      <c r="U140" s="766"/>
      <c r="V140" s="1384"/>
      <c r="W140" s="1384"/>
      <c r="X140" s="1384"/>
      <c r="Y140" s="1384"/>
      <c r="Z140" s="1384"/>
      <c r="AA140" s="1859"/>
      <c r="AB140" s="788"/>
      <c r="AC140" s="788"/>
      <c r="AD140" s="788"/>
      <c r="AE140" s="788"/>
    </row>
    <row s="16671" customFormat="1" customHeight="1" ht="11.25">
      <c r="A141" s="1210"/>
      <c r="B141" s="1863"/>
      <c r="C141" s="1863"/>
      <c r="D141" s="573"/>
      <c r="K141" s="1384"/>
      <c r="L141" s="1863"/>
      <c r="M141" s="1863"/>
      <c r="N141" s="1384"/>
      <c r="O141" s="1384"/>
      <c r="P141" s="1384"/>
      <c r="Q141" s="1384"/>
      <c r="R141" s="1863"/>
      <c r="S141" s="1384"/>
      <c r="T141" s="1384"/>
      <c r="U141" s="766"/>
      <c r="V141" s="1384"/>
      <c r="W141" s="1384"/>
      <c r="X141" s="1384"/>
      <c r="Y141" s="1384"/>
      <c r="Z141" s="1384"/>
      <c r="AA141" s="1859"/>
      <c r="AB141" s="788"/>
      <c r="AC141" s="788"/>
      <c r="AD141" s="788"/>
      <c r="AE141" s="788"/>
    </row>
    <row s="16671" customFormat="1" customHeight="1" ht="11.25">
      <c r="A142" s="1210"/>
      <c r="B142" s="1863"/>
      <c r="C142" s="1863"/>
      <c r="D142" s="573"/>
      <c r="K142" s="1384"/>
      <c r="L142" s="1863"/>
      <c r="M142" s="1863"/>
      <c r="N142" s="1384"/>
      <c r="O142" s="1384"/>
      <c r="P142" s="1384"/>
      <c r="Q142" s="1384"/>
      <c r="R142" s="1863"/>
      <c r="S142" s="1384"/>
      <c r="T142" s="1384"/>
      <c r="U142" s="766"/>
      <c r="V142" s="1384"/>
      <c r="W142" s="1384"/>
      <c r="X142" s="1384"/>
      <c r="Y142" s="1384"/>
      <c r="Z142" s="1384"/>
      <c r="AA142" s="1859"/>
      <c r="AB142" s="788"/>
      <c r="AC142" s="788"/>
      <c r="AD142" s="788"/>
      <c r="AE142" s="788"/>
    </row>
    <row s="16671" customFormat="1" customHeight="1" ht="11.25">
      <c r="A143" s="1210"/>
      <c r="B143" s="1863"/>
      <c r="C143" s="1863"/>
      <c r="D143" s="573"/>
      <c r="K143" s="1384"/>
      <c r="L143" s="1863"/>
      <c r="M143" s="1863"/>
      <c r="N143" s="1384"/>
      <c r="O143" s="1384"/>
      <c r="P143" s="1384"/>
      <c r="Q143" s="1384"/>
      <c r="R143" s="1863"/>
      <c r="S143" s="1384"/>
      <c r="T143" s="1384"/>
      <c r="U143" s="766"/>
      <c r="V143" s="1384"/>
      <c r="W143" s="1384"/>
      <c r="X143" s="1384"/>
      <c r="Y143" s="1384"/>
      <c r="Z143" s="1384"/>
      <c r="AA143" s="1859"/>
      <c r="AB143" s="788"/>
      <c r="AC143" s="788"/>
      <c r="AD143" s="788"/>
      <c r="AE143" s="788"/>
    </row>
    <row s="16671" customFormat="1" customHeight="1" ht="11.25">
      <c r="A144" s="1210"/>
      <c r="B144" s="1863"/>
      <c r="C144" s="1863"/>
      <c r="D144" s="573"/>
      <c r="K144" s="1384"/>
      <c r="L144" s="1863"/>
      <c r="M144" s="1863"/>
      <c r="N144" s="1384"/>
      <c r="O144" s="1384"/>
      <c r="P144" s="1384"/>
      <c r="Q144" s="1384"/>
      <c r="R144" s="1863"/>
      <c r="S144" s="1384"/>
      <c r="T144" s="1384"/>
      <c r="U144" s="766"/>
      <c r="V144" s="1384"/>
      <c r="W144" s="1384"/>
      <c r="X144" s="1384"/>
      <c r="Y144" s="1384"/>
      <c r="Z144" s="1384"/>
      <c r="AA144" s="1859"/>
      <c r="AB144" s="788"/>
      <c r="AC144" s="788"/>
      <c r="AD144" s="788"/>
      <c r="AE144" s="788"/>
    </row>
    <row s="16671" customFormat="1" customHeight="1" ht="11.25">
      <c r="A145" s="1210"/>
      <c r="B145" s="1863"/>
      <c r="C145" s="1863"/>
      <c r="D145" s="573"/>
      <c r="K145" s="1384"/>
      <c r="L145" s="1863"/>
      <c r="M145" s="1863"/>
      <c r="N145" s="1384"/>
      <c r="O145" s="1384"/>
      <c r="P145" s="1384"/>
      <c r="Q145" s="1384"/>
      <c r="R145" s="1863"/>
      <c r="S145" s="1384"/>
      <c r="T145" s="1384"/>
      <c r="U145" s="766"/>
      <c r="V145" s="1384"/>
      <c r="W145" s="1384"/>
      <c r="X145" s="1384"/>
      <c r="Y145" s="1384"/>
      <c r="Z145" s="1384"/>
      <c r="AA145" s="1859"/>
      <c r="AB145" s="788"/>
      <c r="AC145" s="788"/>
      <c r="AD145" s="788"/>
      <c r="AE145" s="788"/>
    </row>
    <row s="16671" customFormat="1" customHeight="1" ht="11.25">
      <c r="A146" s="1210"/>
      <c r="B146" s="1863"/>
      <c r="C146" s="1863"/>
      <c r="D146" s="573"/>
      <c r="K146" s="1384"/>
      <c r="L146" s="1863"/>
      <c r="M146" s="1863"/>
      <c r="N146" s="1384"/>
      <c r="O146" s="1384"/>
      <c r="P146" s="1384"/>
      <c r="Q146" s="1384"/>
      <c r="R146" s="1863"/>
      <c r="S146" s="1384"/>
      <c r="T146" s="1384"/>
      <c r="U146" s="766"/>
      <c r="V146" s="1384"/>
      <c r="W146" s="1384"/>
      <c r="X146" s="1384"/>
      <c r="Y146" s="1384"/>
      <c r="Z146" s="1384"/>
      <c r="AA146" s="1859"/>
      <c r="AB146" s="788"/>
      <c r="AC146" s="788"/>
      <c r="AD146" s="788"/>
      <c r="AE146" s="788"/>
    </row>
    <row s="16671" customFormat="1" customHeight="1" ht="11.25">
      <c r="A147" s="1210"/>
      <c r="B147" s="1863"/>
      <c r="C147" s="1863"/>
      <c r="D147" s="573"/>
      <c r="K147" s="1384"/>
      <c r="L147" s="1863"/>
      <c r="M147" s="1863"/>
      <c r="N147" s="1384"/>
      <c r="O147" s="1384"/>
      <c r="P147" s="1384"/>
      <c r="Q147" s="1384"/>
      <c r="R147" s="1863"/>
      <c r="S147" s="1384"/>
      <c r="T147" s="1384"/>
      <c r="U147" s="766"/>
      <c r="V147" s="1384"/>
      <c r="W147" s="1384"/>
      <c r="X147" s="1384"/>
      <c r="Y147" s="1384"/>
      <c r="Z147" s="1384"/>
      <c r="AA147" s="1859"/>
      <c r="AB147" s="788"/>
      <c r="AC147" s="788"/>
      <c r="AD147" s="788"/>
      <c r="AE147" s="788"/>
    </row>
    <row s="16671" customFormat="1" customHeight="1" ht="11.25">
      <c r="A148" s="1210"/>
      <c r="B148" s="1863"/>
      <c r="C148" s="1863"/>
      <c r="D148" s="573"/>
      <c r="K148" s="1384"/>
      <c r="L148" s="1863"/>
      <c r="M148" s="1863"/>
      <c r="N148" s="1384"/>
      <c r="O148" s="1384"/>
      <c r="P148" s="1384"/>
      <c r="Q148" s="1384"/>
      <c r="R148" s="1863"/>
      <c r="S148" s="1384"/>
      <c r="T148" s="1384"/>
      <c r="U148" s="766"/>
      <c r="V148" s="1384"/>
      <c r="W148" s="1384"/>
      <c r="X148" s="1384"/>
      <c r="Y148" s="1384"/>
      <c r="Z148" s="1384"/>
      <c r="AA148" s="1859"/>
      <c r="AB148" s="788"/>
      <c r="AC148" s="788"/>
      <c r="AD148" s="788"/>
      <c r="AE148" s="788"/>
    </row>
    <row s="16671" customFormat="1" customHeight="1" ht="11.25">
      <c r="A149" s="1210"/>
      <c r="B149" s="1863"/>
      <c r="C149" s="1863"/>
      <c r="D149" s="573"/>
      <c r="K149" s="1384"/>
      <c r="L149" s="1863"/>
      <c r="M149" s="1863"/>
      <c r="N149" s="1384"/>
      <c r="O149" s="1384"/>
      <c r="P149" s="1384"/>
      <c r="Q149" s="1384"/>
      <c r="R149" s="1863"/>
      <c r="S149" s="1384"/>
      <c r="T149" s="1384"/>
      <c r="U149" s="766"/>
      <c r="V149" s="1384"/>
      <c r="W149" s="1384"/>
      <c r="X149" s="1384"/>
      <c r="Y149" s="1384"/>
      <c r="Z149" s="1384"/>
      <c r="AA149" s="1859"/>
      <c r="AB149" s="788"/>
      <c r="AC149" s="788"/>
      <c r="AD149" s="788"/>
      <c r="AE149" s="788"/>
    </row>
    <row s="16671" customFormat="1" customHeight="1" ht="11.25">
      <c r="A150" s="1210"/>
      <c r="B150" s="1863"/>
      <c r="C150" s="1863"/>
      <c r="D150" s="573"/>
      <c r="K150" s="1384"/>
      <c r="L150" s="1863"/>
      <c r="M150" s="1863"/>
      <c r="N150" s="1384"/>
      <c r="O150" s="1384"/>
      <c r="P150" s="1384"/>
      <c r="Q150" s="1384"/>
      <c r="R150" s="1863"/>
      <c r="S150" s="1384"/>
      <c r="T150" s="1384"/>
      <c r="U150" s="766"/>
      <c r="V150" s="1384"/>
      <c r="W150" s="1384"/>
      <c r="X150" s="1384"/>
      <c r="Y150" s="1384"/>
      <c r="Z150" s="1384"/>
      <c r="AA150" s="1859"/>
      <c r="AB150" s="788"/>
      <c r="AC150" s="788"/>
      <c r="AD150" s="788"/>
      <c r="AE150" s="788"/>
    </row>
    <row s="16671" customFormat="1" customHeight="1" ht="11.25">
      <c r="A151" s="1210"/>
      <c r="B151" s="1863"/>
      <c r="C151" s="1863"/>
      <c r="D151" s="573"/>
      <c r="K151" s="1384"/>
      <c r="L151" s="1863"/>
      <c r="M151" s="1863"/>
      <c r="N151" s="1384"/>
      <c r="O151" s="1384"/>
      <c r="P151" s="1384"/>
      <c r="Q151" s="1384"/>
      <c r="R151" s="1863"/>
      <c r="S151" s="1384"/>
      <c r="T151" s="1384"/>
      <c r="U151" s="766"/>
      <c r="V151" s="1384"/>
      <c r="W151" s="1384"/>
      <c r="X151" s="1384"/>
      <c r="Y151" s="1384"/>
      <c r="Z151" s="1384"/>
      <c r="AA151" s="1859"/>
      <c r="AB151" s="788"/>
      <c r="AC151" s="788"/>
      <c r="AD151" s="788"/>
      <c r="AE151" s="788"/>
    </row>
    <row s="16671" customFormat="1" customHeight="1" ht="11.25">
      <c r="A152" s="1210"/>
      <c r="B152" s="1863"/>
      <c r="C152" s="1863"/>
      <c r="D152" s="573"/>
      <c r="K152" s="1384"/>
      <c r="L152" s="1863"/>
      <c r="M152" s="1863"/>
      <c r="N152" s="1384"/>
      <c r="O152" s="1384"/>
      <c r="P152" s="1384"/>
      <c r="Q152" s="1384"/>
      <c r="R152" s="1863"/>
      <c r="S152" s="1384"/>
      <c r="T152" s="1384"/>
      <c r="U152" s="766"/>
      <c r="V152" s="1384"/>
      <c r="W152" s="1384"/>
      <c r="X152" s="1384"/>
      <c r="Y152" s="1384"/>
      <c r="Z152" s="1384"/>
      <c r="AA152" s="1859"/>
      <c r="AB152" s="788"/>
      <c r="AC152" s="788"/>
      <c r="AD152" s="788"/>
      <c r="AE152" s="788"/>
    </row>
    <row s="16671" customFormat="1" customHeight="1" ht="11.25">
      <c r="A153" s="1210"/>
      <c r="B153" s="1863"/>
      <c r="C153" s="1863"/>
      <c r="D153" s="573"/>
      <c r="K153" s="1384"/>
      <c r="L153" s="1863"/>
      <c r="M153" s="1863"/>
      <c r="N153" s="1384"/>
      <c r="O153" s="1384"/>
      <c r="P153" s="1384"/>
      <c r="Q153" s="1384"/>
      <c r="R153" s="1863"/>
      <c r="S153" s="1384"/>
      <c r="T153" s="1384"/>
      <c r="U153" s="766"/>
      <c r="V153" s="1384"/>
      <c r="W153" s="1384"/>
      <c r="X153" s="1384"/>
      <c r="Y153" s="1384"/>
      <c r="Z153" s="1384"/>
      <c r="AA153" s="1859"/>
      <c r="AB153" s="788"/>
      <c r="AC153" s="788"/>
      <c r="AD153" s="788"/>
      <c r="AE153" s="788"/>
    </row>
    <row s="16671" customFormat="1" customHeight="1" ht="11.25">
      <c r="A154" s="1210"/>
      <c r="B154" s="1863"/>
      <c r="C154" s="1863"/>
      <c r="D154" s="573"/>
      <c r="K154" s="1384"/>
      <c r="L154" s="1863"/>
      <c r="M154" s="1863"/>
      <c r="N154" s="1384"/>
      <c r="O154" s="1384"/>
      <c r="P154" s="1384"/>
      <c r="Q154" s="1384"/>
      <c r="R154" s="1863"/>
      <c r="S154" s="1384"/>
      <c r="T154" s="1384"/>
      <c r="U154" s="766"/>
      <c r="V154" s="1384"/>
      <c r="W154" s="1384"/>
      <c r="X154" s="1384"/>
      <c r="Y154" s="1384"/>
      <c r="Z154" s="1384"/>
      <c r="AA154" s="1859"/>
      <c r="AB154" s="788"/>
      <c r="AC154" s="788"/>
      <c r="AD154" s="788"/>
      <c r="AE154" s="788"/>
    </row>
    <row s="16671" customFormat="1" customHeight="1" ht="11.25">
      <c r="A155" s="1210"/>
      <c r="B155" s="1863"/>
      <c r="C155" s="1863"/>
      <c r="D155" s="573"/>
      <c r="K155" s="1384"/>
      <c r="L155" s="1863"/>
      <c r="M155" s="1863"/>
      <c r="N155" s="1384"/>
      <c r="O155" s="1384"/>
      <c r="P155" s="1384"/>
      <c r="Q155" s="1384"/>
      <c r="R155" s="1863"/>
      <c r="S155" s="1384"/>
      <c r="T155" s="1384"/>
      <c r="U155" s="766"/>
      <c r="V155" s="1384"/>
      <c r="W155" s="1384"/>
      <c r="X155" s="1384"/>
      <c r="Y155" s="1384"/>
      <c r="Z155" s="1384"/>
      <c r="AA155" s="1859"/>
      <c r="AB155" s="788"/>
      <c r="AC155" s="788"/>
      <c r="AD155" s="788"/>
      <c r="AE155" s="788"/>
    </row>
    <row s="16671" customFormat="1" customHeight="1" ht="11.25">
      <c r="A156" s="1210"/>
      <c r="B156" s="1863"/>
      <c r="C156" s="1863"/>
      <c r="D156" s="573"/>
      <c r="K156" s="1384"/>
      <c r="L156" s="1863"/>
      <c r="M156" s="1863"/>
      <c r="N156" s="1384"/>
      <c r="O156" s="1384"/>
      <c r="P156" s="1384"/>
      <c r="Q156" s="1384"/>
      <c r="R156" s="1863"/>
      <c r="S156" s="1384"/>
      <c r="T156" s="1384"/>
      <c r="U156" s="766"/>
      <c r="V156" s="1384"/>
      <c r="W156" s="1384"/>
      <c r="X156" s="1384"/>
      <c r="Y156" s="1384"/>
      <c r="Z156" s="1384"/>
      <c r="AA156" s="1859"/>
      <c r="AB156" s="788"/>
      <c r="AC156" s="788"/>
      <c r="AD156" s="788"/>
      <c r="AE156" s="788"/>
    </row>
    <row s="16671" customFormat="1" customHeight="1" ht="11.25">
      <c r="A157" s="1210"/>
      <c r="B157" s="1863"/>
      <c r="C157" s="1863"/>
      <c r="D157" s="573"/>
      <c r="K157" s="1384"/>
      <c r="L157" s="1863"/>
      <c r="M157" s="1863"/>
      <c r="N157" s="1384"/>
      <c r="O157" s="1384"/>
      <c r="P157" s="1384"/>
      <c r="Q157" s="1384"/>
      <c r="R157" s="1863"/>
      <c r="S157" s="1384"/>
      <c r="T157" s="1384"/>
      <c r="U157" s="766"/>
      <c r="V157" s="1384"/>
      <c r="W157" s="1384"/>
      <c r="X157" s="1384"/>
      <c r="Y157" s="1384"/>
      <c r="Z157" s="1384"/>
      <c r="AA157" s="1859"/>
      <c r="AB157" s="788"/>
      <c r="AC157" s="788"/>
      <c r="AD157" s="788"/>
      <c r="AE157" s="788"/>
    </row>
    <row s="16671" customFormat="1" customHeight="1" ht="11.25">
      <c r="A158" s="1210"/>
      <c r="B158" s="1863"/>
      <c r="C158" s="1863"/>
      <c r="D158" s="573"/>
      <c r="K158" s="1384"/>
      <c r="L158" s="1863"/>
      <c r="M158" s="1863"/>
      <c r="N158" s="1384"/>
      <c r="O158" s="1384"/>
      <c r="P158" s="1384"/>
      <c r="Q158" s="1384"/>
      <c r="R158" s="1863"/>
      <c r="S158" s="1384"/>
      <c r="T158" s="1384"/>
      <c r="U158" s="766"/>
      <c r="V158" s="1384"/>
      <c r="W158" s="1384"/>
      <c r="X158" s="1384"/>
      <c r="Y158" s="1384"/>
      <c r="Z158" s="1384"/>
      <c r="AA158" s="1859"/>
      <c r="AB158" s="788"/>
      <c r="AC158" s="788"/>
      <c r="AD158" s="788"/>
      <c r="AE158" s="788"/>
    </row>
    <row s="16671" customFormat="1" customHeight="1" ht="11.25">
      <c r="A159" s="1210"/>
      <c r="B159" s="1863"/>
      <c r="C159" s="1863"/>
      <c r="D159" s="573"/>
      <c r="K159" s="1384"/>
      <c r="L159" s="1863"/>
      <c r="M159" s="1863"/>
      <c r="N159" s="1384"/>
      <c r="O159" s="1384"/>
      <c r="P159" s="1384"/>
      <c r="Q159" s="1384"/>
      <c r="R159" s="1863"/>
      <c r="S159" s="1384"/>
      <c r="T159" s="1384"/>
      <c r="U159" s="766"/>
      <c r="V159" s="1384"/>
      <c r="W159" s="1384"/>
      <c r="X159" s="1384"/>
      <c r="Y159" s="1384"/>
      <c r="Z159" s="1384"/>
      <c r="AA159" s="1859"/>
      <c r="AB159" s="788"/>
      <c r="AC159" s="788"/>
      <c r="AD159" s="788"/>
      <c r="AE159" s="788"/>
    </row>
    <row s="16671" customFormat="1" customHeight="1" ht="11.25">
      <c r="A160" s="1210"/>
      <c r="B160" s="1863"/>
      <c r="C160" s="1863"/>
      <c r="D160" s="573"/>
      <c r="K160" s="1384"/>
      <c r="L160" s="1863"/>
      <c r="M160" s="1863"/>
      <c r="N160" s="1384"/>
      <c r="O160" s="1384"/>
      <c r="P160" s="1384"/>
      <c r="Q160" s="1384"/>
      <c r="R160" s="1863"/>
      <c r="S160" s="1384"/>
      <c r="T160" s="1384"/>
      <c r="U160" s="766"/>
      <c r="V160" s="1384"/>
      <c r="W160" s="1384"/>
      <c r="X160" s="1384"/>
      <c r="Y160" s="1384"/>
      <c r="Z160" s="1384"/>
      <c r="AA160" s="1859"/>
      <c r="AB160" s="788"/>
      <c r="AC160" s="788"/>
      <c r="AD160" s="788"/>
      <c r="AE160" s="788"/>
    </row>
    <row s="16671" customFormat="1" customHeight="1" ht="11.25">
      <c r="A161" s="1210"/>
      <c r="B161" s="1863"/>
      <c r="C161" s="1863"/>
      <c r="D161" s="573"/>
      <c r="K161" s="1384"/>
      <c r="L161" s="1863"/>
      <c r="M161" s="1863"/>
      <c r="N161" s="1384"/>
      <c r="O161" s="1384"/>
      <c r="P161" s="1384"/>
      <c r="Q161" s="1384"/>
      <c r="R161" s="1863"/>
      <c r="S161" s="1384"/>
      <c r="T161" s="1384"/>
      <c r="U161" s="766"/>
      <c r="V161" s="1384"/>
      <c r="W161" s="1384"/>
      <c r="X161" s="1384"/>
      <c r="Y161" s="1384"/>
      <c r="Z161" s="1384"/>
      <c r="AA161" s="1859"/>
      <c r="AB161" s="788"/>
      <c r="AC161" s="788"/>
      <c r="AD161" s="788"/>
      <c r="AE161" s="788"/>
    </row>
    <row s="16671" customFormat="1" customHeight="1" ht="11.25">
      <c r="A162" s="1210"/>
      <c r="B162" s="1863"/>
      <c r="C162" s="1863"/>
      <c r="D162" s="573"/>
      <c r="K162" s="1384"/>
      <c r="L162" s="1863"/>
      <c r="M162" s="1863"/>
      <c r="N162" s="1384"/>
      <c r="O162" s="1384"/>
      <c r="P162" s="1384"/>
      <c r="Q162" s="1384"/>
      <c r="R162" s="1863"/>
      <c r="S162" s="1384"/>
      <c r="T162" s="1384"/>
      <c r="U162" s="766"/>
      <c r="V162" s="1384"/>
      <c r="W162" s="1384"/>
      <c r="X162" s="1384"/>
      <c r="Y162" s="1384"/>
      <c r="Z162" s="1384"/>
      <c r="AA162" s="1859"/>
      <c r="AB162" s="788"/>
      <c r="AC162" s="788"/>
      <c r="AD162" s="788"/>
      <c r="AE162" s="788"/>
    </row>
    <row s="16671" customFormat="1" customHeight="1" ht="11.25">
      <c r="A163" s="1210"/>
      <c r="B163" s="1863"/>
      <c r="C163" s="1863"/>
      <c r="D163" s="573"/>
      <c r="K163" s="1384"/>
      <c r="L163" s="1863"/>
      <c r="M163" s="1863"/>
      <c r="N163" s="1384"/>
      <c r="O163" s="1384"/>
      <c r="P163" s="1384"/>
      <c r="Q163" s="1384"/>
      <c r="R163" s="1863"/>
      <c r="S163" s="1384"/>
      <c r="T163" s="1384"/>
      <c r="U163" s="766"/>
      <c r="V163" s="1384"/>
      <c r="W163" s="1384"/>
      <c r="X163" s="1384"/>
      <c r="Y163" s="1384"/>
      <c r="Z163" s="1384"/>
      <c r="AA163" s="1859"/>
      <c r="AB163" s="788"/>
      <c r="AC163" s="788"/>
      <c r="AD163" s="788"/>
      <c r="AE163" s="788"/>
    </row>
    <row s="16671" customFormat="1" customHeight="1" ht="11.25">
      <c r="A164" s="1210"/>
      <c r="B164" s="1863"/>
      <c r="C164" s="1863"/>
      <c r="D164" s="573"/>
      <c r="K164" s="1384"/>
      <c r="L164" s="1863"/>
      <c r="M164" s="1863"/>
      <c r="N164" s="1384"/>
      <c r="O164" s="1384"/>
      <c r="P164" s="1384"/>
      <c r="Q164" s="1384"/>
      <c r="R164" s="1863"/>
      <c r="S164" s="1384"/>
      <c r="T164" s="1384"/>
      <c r="U164" s="766"/>
      <c r="V164" s="1384"/>
      <c r="W164" s="1384"/>
      <c r="X164" s="1384"/>
      <c r="Y164" s="1384"/>
      <c r="Z164" s="1384"/>
      <c r="AA164" s="1859"/>
      <c r="AB164" s="788"/>
      <c r="AC164" s="788"/>
      <c r="AD164" s="788"/>
      <c r="AE164" s="788"/>
    </row>
    <row s="16671" customFormat="1" customHeight="1" ht="11.25">
      <c r="A165" s="1210"/>
      <c r="B165" s="1863"/>
      <c r="C165" s="1863"/>
      <c r="D165" s="573"/>
      <c r="K165" s="1384"/>
      <c r="L165" s="1863"/>
      <c r="M165" s="1863"/>
      <c r="N165" s="1384"/>
      <c r="O165" s="1384"/>
      <c r="P165" s="1384"/>
      <c r="Q165" s="1384"/>
      <c r="R165" s="1863"/>
      <c r="S165" s="1384"/>
      <c r="T165" s="1384"/>
      <c r="U165" s="766"/>
      <c r="V165" s="1384"/>
      <c r="W165" s="1384"/>
      <c r="X165" s="1384"/>
      <c r="Y165" s="1384"/>
      <c r="Z165" s="1384"/>
      <c r="AA165" s="1859"/>
      <c r="AB165" s="788"/>
      <c r="AC165" s="788"/>
      <c r="AD165" s="788"/>
      <c r="AE165" s="788"/>
    </row>
    <row s="16671" customFormat="1" customHeight="1" ht="11.25">
      <c r="A166" s="1210"/>
      <c r="B166" s="1863"/>
      <c r="C166" s="1863"/>
      <c r="D166" s="573"/>
      <c r="K166" s="1384"/>
      <c r="L166" s="1863"/>
      <c r="M166" s="1863"/>
      <c r="N166" s="1384"/>
      <c r="O166" s="1384"/>
      <c r="P166" s="1384"/>
      <c r="Q166" s="1384"/>
      <c r="R166" s="1863"/>
      <c r="S166" s="1384"/>
      <c r="T166" s="1384"/>
      <c r="U166" s="766"/>
      <c r="V166" s="1384"/>
      <c r="W166" s="1384"/>
      <c r="X166" s="1384"/>
      <c r="Y166" s="1384"/>
      <c r="Z166" s="1384"/>
      <c r="AA166" s="1859"/>
      <c r="AB166" s="788"/>
      <c r="AC166" s="788"/>
      <c r="AD166" s="788"/>
      <c r="AE166" s="788"/>
    </row>
    <row s="16671" customFormat="1" customHeight="1" ht="11.25">
      <c r="A167" s="1210"/>
      <c r="B167" s="1863"/>
      <c r="C167" s="1863"/>
      <c r="D167" s="573"/>
      <c r="K167" s="1384"/>
      <c r="L167" s="1863"/>
      <c r="M167" s="1863"/>
      <c r="N167" s="1384"/>
      <c r="O167" s="1384"/>
      <c r="P167" s="1384"/>
      <c r="Q167" s="1384"/>
      <c r="R167" s="1863"/>
      <c r="S167" s="1384"/>
      <c r="T167" s="1384"/>
      <c r="U167" s="766"/>
      <c r="V167" s="1384"/>
      <c r="W167" s="1384"/>
      <c r="X167" s="1384"/>
      <c r="Y167" s="1384"/>
      <c r="Z167" s="1384"/>
      <c r="AA167" s="1859"/>
      <c r="AB167" s="788"/>
      <c r="AC167" s="788"/>
      <c r="AD167" s="788"/>
      <c r="AE167" s="788"/>
    </row>
    <row s="16671" customFormat="1" customHeight="1" ht="11.25">
      <c r="A168" s="1210"/>
      <c r="B168" s="1863"/>
      <c r="C168" s="1863"/>
      <c r="D168" s="573"/>
      <c r="K168" s="1384"/>
      <c r="L168" s="1863"/>
      <c r="M168" s="1863"/>
      <c r="N168" s="1384"/>
      <c r="O168" s="1384"/>
      <c r="P168" s="1384"/>
      <c r="Q168" s="1384"/>
      <c r="R168" s="1863"/>
      <c r="S168" s="1384"/>
      <c r="T168" s="1384"/>
      <c r="U168" s="766"/>
      <c r="V168" s="1384"/>
      <c r="W168" s="1384"/>
      <c r="X168" s="1384"/>
      <c r="Y168" s="1384"/>
      <c r="Z168" s="1384"/>
      <c r="AA168" s="1859"/>
      <c r="AB168" s="788"/>
      <c r="AC168" s="788"/>
      <c r="AD168" s="788"/>
      <c r="AE168" s="788"/>
    </row>
    <row s="16671" customFormat="1" customHeight="1" ht="11.25">
      <c r="A169" s="1210"/>
      <c r="B169" s="1863"/>
      <c r="C169" s="1863"/>
      <c r="D169" s="573"/>
      <c r="K169" s="1384"/>
      <c r="L169" s="1863"/>
      <c r="M169" s="1863"/>
      <c r="N169" s="1384"/>
      <c r="O169" s="1384"/>
      <c r="P169" s="1384"/>
      <c r="Q169" s="1384"/>
      <c r="R169" s="1863"/>
      <c r="S169" s="1384"/>
      <c r="T169" s="1384"/>
      <c r="U169" s="766"/>
      <c r="V169" s="1384"/>
      <c r="W169" s="1384"/>
      <c r="X169" s="1384"/>
      <c r="Y169" s="1384"/>
      <c r="Z169" s="1384"/>
      <c r="AA169" s="1859"/>
      <c r="AB169" s="788"/>
      <c r="AC169" s="788"/>
      <c r="AD169" s="788"/>
      <c r="AE169" s="788"/>
    </row>
    <row s="16671" customFormat="1" customHeight="1" ht="11.25">
      <c r="A170" s="1210"/>
      <c r="B170" s="1863"/>
      <c r="C170" s="1863"/>
      <c r="D170" s="573"/>
      <c r="K170" s="1384"/>
      <c r="L170" s="1863"/>
      <c r="M170" s="1863"/>
      <c r="N170" s="1384"/>
      <c r="O170" s="1384"/>
      <c r="P170" s="1384"/>
      <c r="Q170" s="1384"/>
      <c r="R170" s="1863"/>
      <c r="S170" s="1384"/>
      <c r="T170" s="1384"/>
      <c r="U170" s="766"/>
      <c r="V170" s="1384"/>
      <c r="W170" s="1384"/>
      <c r="X170" s="1384"/>
      <c r="Y170" s="1384"/>
      <c r="Z170" s="1384"/>
      <c r="AA170" s="1859"/>
      <c r="AB170" s="788"/>
      <c r="AC170" s="788"/>
      <c r="AD170" s="788"/>
      <c r="AE170" s="788"/>
    </row>
    <row s="16671" customFormat="1" customHeight="1" ht="11.25">
      <c r="A171" s="1210"/>
      <c r="B171" s="1863"/>
      <c r="C171" s="1863"/>
      <c r="D171" s="573"/>
      <c r="K171" s="1384"/>
      <c r="L171" s="1863"/>
      <c r="M171" s="1863"/>
      <c r="N171" s="1384"/>
      <c r="O171" s="1384"/>
      <c r="P171" s="1384"/>
      <c r="Q171" s="1384"/>
      <c r="R171" s="1863"/>
      <c r="S171" s="1384"/>
      <c r="T171" s="1384"/>
      <c r="U171" s="766"/>
      <c r="V171" s="1384"/>
      <c r="W171" s="1384"/>
      <c r="X171" s="1384"/>
      <c r="Y171" s="1384"/>
      <c r="Z171" s="1384"/>
      <c r="AA171" s="1859"/>
      <c r="AB171" s="788"/>
      <c r="AC171" s="788"/>
      <c r="AD171" s="788"/>
      <c r="AE171" s="788"/>
    </row>
    <row s="16671" customFormat="1" customHeight="1" ht="11.25">
      <c r="A172" s="1210"/>
      <c r="B172" s="1863"/>
      <c r="C172" s="1863"/>
      <c r="D172" s="573"/>
      <c r="K172" s="1384"/>
      <c r="L172" s="1863"/>
      <c r="M172" s="1863"/>
      <c r="N172" s="1384"/>
      <c r="O172" s="1384"/>
      <c r="P172" s="1384"/>
      <c r="Q172" s="1384"/>
      <c r="R172" s="1863"/>
      <c r="S172" s="1384"/>
      <c r="T172" s="1384"/>
      <c r="U172" s="766"/>
      <c r="V172" s="1384"/>
      <c r="W172" s="1384"/>
      <c r="X172" s="1384"/>
      <c r="Y172" s="1384"/>
      <c r="Z172" s="1384"/>
      <c r="AA172" s="1859"/>
      <c r="AB172" s="788"/>
      <c r="AC172" s="788"/>
      <c r="AD172" s="788"/>
      <c r="AE172" s="788"/>
    </row>
    <row s="16671" customFormat="1" customHeight="1" ht="11.25">
      <c r="A173" s="1210"/>
      <c r="B173" s="1863"/>
      <c r="C173" s="1863"/>
      <c r="D173" s="573"/>
      <c r="K173" s="1384"/>
      <c r="L173" s="1863"/>
      <c r="M173" s="1863"/>
      <c r="N173" s="1384"/>
      <c r="O173" s="1384"/>
      <c r="P173" s="1384"/>
      <c r="Q173" s="1384"/>
      <c r="R173" s="1863"/>
      <c r="S173" s="1384"/>
      <c r="T173" s="1384"/>
      <c r="U173" s="766"/>
      <c r="V173" s="1384"/>
      <c r="W173" s="1384"/>
      <c r="X173" s="1384"/>
      <c r="Y173" s="1384"/>
      <c r="Z173" s="1384"/>
      <c r="AA173" s="1859"/>
      <c r="AB173" s="788"/>
      <c r="AC173" s="788"/>
      <c r="AD173" s="788"/>
      <c r="AE173" s="788"/>
    </row>
    <row s="16671" customFormat="1" customHeight="1" ht="11.25">
      <c r="A174" s="1210"/>
      <c r="B174" s="1863"/>
      <c r="C174" s="1863"/>
      <c r="D174" s="573"/>
      <c r="K174" s="1384"/>
      <c r="L174" s="1863"/>
      <c r="M174" s="1863"/>
      <c r="N174" s="1384"/>
      <c r="O174" s="1384"/>
      <c r="P174" s="1384"/>
      <c r="Q174" s="1384"/>
      <c r="R174" s="1863"/>
      <c r="S174" s="1384"/>
      <c r="T174" s="1384"/>
      <c r="U174" s="766"/>
      <c r="V174" s="1384"/>
      <c r="W174" s="1384"/>
      <c r="X174" s="1384"/>
      <c r="Y174" s="1384"/>
      <c r="Z174" s="1384"/>
      <c r="AA174" s="1859"/>
      <c r="AB174" s="788"/>
      <c r="AC174" s="788"/>
      <c r="AD174" s="788"/>
      <c r="AE174" s="788"/>
    </row>
    <row s="16671" customFormat="1" customHeight="1" ht="11.25">
      <c r="A175" s="1210"/>
      <c r="B175" s="1863"/>
      <c r="C175" s="1863"/>
      <c r="D175" s="573"/>
      <c r="K175" s="1384"/>
      <c r="L175" s="1863"/>
      <c r="M175" s="1863"/>
      <c r="N175" s="1384"/>
      <c r="O175" s="1384"/>
      <c r="P175" s="1384"/>
      <c r="Q175" s="1384"/>
      <c r="R175" s="1863"/>
      <c r="S175" s="1384"/>
      <c r="T175" s="1384"/>
      <c r="U175" s="766"/>
      <c r="V175" s="1384"/>
      <c r="W175" s="1384"/>
      <c r="X175" s="1384"/>
      <c r="Y175" s="1384"/>
      <c r="Z175" s="1384"/>
      <c r="AA175" s="1859"/>
      <c r="AB175" s="788"/>
      <c r="AC175" s="788"/>
      <c r="AD175" s="788"/>
      <c r="AE175" s="788"/>
    </row>
    <row s="16671" customFormat="1" customHeight="1" ht="11.25">
      <c r="A176" s="1210"/>
      <c r="B176" s="1863"/>
      <c r="C176" s="1863"/>
      <c r="D176" s="573"/>
      <c r="K176" s="1384"/>
      <c r="L176" s="1863"/>
      <c r="M176" s="1863"/>
      <c r="N176" s="1384"/>
      <c r="O176" s="1384"/>
      <c r="P176" s="1384"/>
      <c r="Q176" s="1384"/>
      <c r="R176" s="1863"/>
      <c r="S176" s="1384"/>
      <c r="T176" s="1384"/>
      <c r="U176" s="766"/>
      <c r="V176" s="1384"/>
      <c r="W176" s="1384"/>
      <c r="X176" s="1384"/>
      <c r="Y176" s="1384"/>
      <c r="Z176" s="1384"/>
      <c r="AA176" s="1859"/>
      <c r="AB176" s="788"/>
      <c r="AC176" s="788"/>
      <c r="AD176" s="788"/>
      <c r="AE176" s="788"/>
    </row>
    <row s="16671" customFormat="1" customHeight="1" ht="11.25">
      <c r="A177" s="1210"/>
      <c r="B177" s="1863"/>
      <c r="C177" s="1863"/>
      <c r="D177" s="573"/>
      <c r="K177" s="1384"/>
      <c r="L177" s="1863"/>
      <c r="M177" s="1863"/>
      <c r="N177" s="1384"/>
      <c r="O177" s="1384"/>
      <c r="P177" s="1384"/>
      <c r="Q177" s="1384"/>
      <c r="R177" s="1863"/>
      <c r="S177" s="1384"/>
      <c r="T177" s="1384"/>
      <c r="U177" s="766"/>
      <c r="V177" s="1384"/>
      <c r="W177" s="1384"/>
      <c r="X177" s="1384"/>
      <c r="Y177" s="1384"/>
      <c r="Z177" s="1384"/>
      <c r="AA177" s="1859"/>
      <c r="AB177" s="788"/>
      <c r="AC177" s="788"/>
      <c r="AD177" s="788"/>
      <c r="AE177" s="788"/>
    </row>
    <row s="16671" customFormat="1" customHeight="1" ht="11.25">
      <c r="A178" s="1210"/>
      <c r="B178" s="1863"/>
      <c r="C178" s="1863"/>
      <c r="D178" s="573"/>
      <c r="K178" s="1384"/>
      <c r="L178" s="1863"/>
      <c r="M178" s="1863"/>
      <c r="N178" s="1384"/>
      <c r="O178" s="1384"/>
      <c r="P178" s="1384"/>
      <c r="Q178" s="1384"/>
      <c r="R178" s="1863"/>
      <c r="S178" s="1384"/>
      <c r="T178" s="1384"/>
      <c r="U178" s="766"/>
      <c r="V178" s="1384"/>
      <c r="W178" s="1384"/>
      <c r="X178" s="1384"/>
      <c r="Y178" s="1384"/>
      <c r="Z178" s="1384"/>
      <c r="AA178" s="1859"/>
      <c r="AB178" s="788"/>
      <c r="AC178" s="788"/>
      <c r="AD178" s="788"/>
      <c r="AE178" s="788"/>
    </row>
    <row s="16671" customFormat="1" customHeight="1" ht="11.25">
      <c r="A179" s="1210"/>
      <c r="B179" s="1863"/>
      <c r="C179" s="1863"/>
      <c r="D179" s="573"/>
      <c r="K179" s="1384"/>
      <c r="L179" s="1863"/>
      <c r="M179" s="1863"/>
      <c r="N179" s="1384"/>
      <c r="O179" s="1384"/>
      <c r="P179" s="1384"/>
      <c r="Q179" s="1384"/>
      <c r="R179" s="1863"/>
      <c r="S179" s="1384"/>
      <c r="T179" s="1384"/>
      <c r="U179" s="766"/>
      <c r="V179" s="1384"/>
      <c r="W179" s="1384"/>
      <c r="X179" s="1384"/>
      <c r="Y179" s="1384"/>
      <c r="Z179" s="1384"/>
      <c r="AA179" s="1859"/>
      <c r="AB179" s="788"/>
      <c r="AC179" s="788"/>
      <c r="AD179" s="788"/>
      <c r="AE179" s="788"/>
    </row>
    <row s="16671" customFormat="1" customHeight="1" ht="11.25">
      <c r="A180" s="1210"/>
      <c r="B180" s="1863"/>
      <c r="C180" s="1863"/>
      <c r="D180" s="573"/>
      <c r="K180" s="1384"/>
      <c r="L180" s="1863"/>
      <c r="M180" s="1863"/>
      <c r="N180" s="1384"/>
      <c r="O180" s="1384"/>
      <c r="P180" s="1384"/>
      <c r="Q180" s="1384"/>
      <c r="R180" s="1863"/>
      <c r="S180" s="1384"/>
      <c r="T180" s="1384"/>
      <c r="U180" s="766"/>
      <c r="V180" s="1384"/>
      <c r="W180" s="1384"/>
      <c r="X180" s="1384"/>
      <c r="Y180" s="1384"/>
      <c r="Z180" s="1384"/>
      <c r="AA180" s="1859"/>
      <c r="AB180" s="788"/>
      <c r="AC180" s="788"/>
      <c r="AD180" s="788"/>
      <c r="AE180" s="788"/>
    </row>
    <row s="16671" customFormat="1" customHeight="1" ht="11.25">
      <c r="A181" s="1210"/>
      <c r="B181" s="1863"/>
      <c r="C181" s="1863"/>
      <c r="D181" s="573"/>
      <c r="K181" s="1384"/>
      <c r="L181" s="1863"/>
      <c r="M181" s="1863"/>
      <c r="N181" s="1384"/>
      <c r="O181" s="1384"/>
      <c r="P181" s="1384"/>
      <c r="Q181" s="1384"/>
      <c r="R181" s="1863"/>
      <c r="S181" s="1384"/>
      <c r="T181" s="1384"/>
      <c r="U181" s="766"/>
      <c r="V181" s="1384"/>
      <c r="W181" s="1384"/>
      <c r="X181" s="1384"/>
      <c r="Y181" s="1384"/>
      <c r="Z181" s="1384"/>
      <c r="AA181" s="1859"/>
      <c r="AB181" s="788"/>
      <c r="AC181" s="788"/>
      <c r="AD181" s="788"/>
      <c r="AE181" s="788"/>
    </row>
    <row s="16671" customFormat="1" customHeight="1" ht="11.25">
      <c r="A182" s="1210"/>
      <c r="B182" s="1863"/>
      <c r="C182" s="1863"/>
      <c r="D182" s="573"/>
      <c r="K182" s="1384"/>
      <c r="L182" s="1863"/>
      <c r="M182" s="1863"/>
      <c r="N182" s="1384"/>
      <c r="O182" s="1384"/>
      <c r="P182" s="1384"/>
      <c r="Q182" s="1384"/>
      <c r="R182" s="1863"/>
      <c r="S182" s="1384"/>
      <c r="T182" s="1384"/>
      <c r="U182" s="766"/>
      <c r="V182" s="1384"/>
      <c r="W182" s="1384"/>
      <c r="X182" s="1384"/>
      <c r="Y182" s="1384"/>
      <c r="Z182" s="1384"/>
      <c r="AA182" s="1859"/>
      <c r="AB182" s="788"/>
      <c r="AC182" s="788"/>
      <c r="AD182" s="788"/>
      <c r="AE182" s="788"/>
    </row>
    <row s="16671" customFormat="1" customHeight="1" ht="11.25">
      <c r="A183" s="1210"/>
      <c r="B183" s="1863"/>
      <c r="C183" s="1863"/>
      <c r="D183" s="573"/>
      <c r="K183" s="1384"/>
      <c r="L183" s="1863"/>
      <c r="M183" s="1863"/>
      <c r="N183" s="1384"/>
      <c r="O183" s="1384"/>
      <c r="P183" s="1384"/>
      <c r="Q183" s="1384"/>
      <c r="R183" s="1863"/>
      <c r="S183" s="1384"/>
      <c r="T183" s="1384"/>
      <c r="U183" s="766"/>
      <c r="V183" s="1384"/>
      <c r="W183" s="1384"/>
      <c r="X183" s="1384"/>
      <c r="Y183" s="1384"/>
      <c r="Z183" s="1384"/>
      <c r="AA183" s="1859"/>
      <c r="AB183" s="788"/>
      <c r="AC183" s="788"/>
      <c r="AD183" s="788"/>
      <c r="AE183" s="788"/>
    </row>
    <row s="16671" customFormat="1" customHeight="1" ht="11.25">
      <c r="A184" s="1210"/>
      <c r="B184" s="1863"/>
      <c r="C184" s="1863"/>
      <c r="D184" s="573"/>
      <c r="K184" s="1384"/>
      <c r="L184" s="1863"/>
      <c r="M184" s="1863"/>
      <c r="N184" s="1384"/>
      <c r="O184" s="1384"/>
      <c r="P184" s="1384"/>
      <c r="Q184" s="1384"/>
      <c r="R184" s="1863"/>
      <c r="S184" s="1384"/>
      <c r="T184" s="1384"/>
      <c r="U184" s="766"/>
      <c r="V184" s="1384"/>
      <c r="W184" s="1384"/>
      <c r="X184" s="1384"/>
      <c r="Y184" s="1384"/>
      <c r="Z184" s="1384"/>
      <c r="AA184" s="1859"/>
      <c r="AB184" s="788"/>
      <c r="AC184" s="788"/>
      <c r="AD184" s="788"/>
      <c r="AE184" s="788"/>
    </row>
    <row s="16671" customFormat="1" customHeight="1" ht="11.25">
      <c r="A185" s="1210"/>
      <c r="B185" s="1863"/>
      <c r="C185" s="1863"/>
      <c r="D185" s="573"/>
      <c r="K185" s="1384"/>
      <c r="L185" s="1863"/>
      <c r="M185" s="1863"/>
      <c r="N185" s="1384"/>
      <c r="O185" s="1384"/>
      <c r="P185" s="1384"/>
      <c r="Q185" s="1384"/>
      <c r="R185" s="1863"/>
      <c r="S185" s="1384"/>
      <c r="T185" s="1384"/>
      <c r="U185" s="766"/>
      <c r="V185" s="1384"/>
      <c r="W185" s="1384"/>
      <c r="X185" s="1384"/>
      <c r="Y185" s="1384"/>
      <c r="Z185" s="1384"/>
      <c r="AA185" s="1859"/>
      <c r="AB185" s="788"/>
      <c r="AC185" s="788"/>
      <c r="AD185" s="788"/>
      <c r="AE185" s="788"/>
    </row>
    <row s="16671" customFormat="1" customHeight="1" ht="11.25">
      <c r="A186" s="1210"/>
      <c r="B186" s="1863"/>
      <c r="C186" s="1863"/>
      <c r="D186" s="573"/>
      <c r="K186" s="1384"/>
      <c r="L186" s="1863"/>
      <c r="M186" s="1863"/>
      <c r="N186" s="1384"/>
      <c r="O186" s="1384"/>
      <c r="P186" s="1384"/>
      <c r="Q186" s="1384"/>
      <c r="R186" s="1863"/>
      <c r="S186" s="1384"/>
      <c r="T186" s="1384"/>
      <c r="U186" s="766"/>
      <c r="V186" s="1384"/>
      <c r="W186" s="1384"/>
      <c r="X186" s="1384"/>
      <c r="Y186" s="1384"/>
      <c r="Z186" s="1384"/>
      <c r="AA186" s="1859"/>
      <c r="AB186" s="788"/>
      <c r="AC186" s="788"/>
      <c r="AD186" s="788"/>
      <c r="AE186" s="788"/>
    </row>
    <row s="16671" customFormat="1" customHeight="1" ht="11.25">
      <c r="A187" s="1210"/>
      <c r="B187" s="1863"/>
      <c r="C187" s="1863"/>
      <c r="D187" s="573"/>
      <c r="K187" s="1384"/>
      <c r="L187" s="1863"/>
      <c r="M187" s="1863"/>
      <c r="N187" s="1384"/>
      <c r="O187" s="1384"/>
      <c r="P187" s="1384"/>
      <c r="Q187" s="1384"/>
      <c r="R187" s="1863"/>
      <c r="S187" s="1384"/>
      <c r="T187" s="1384"/>
      <c r="U187" s="766"/>
      <c r="V187" s="1384"/>
      <c r="W187" s="1384"/>
      <c r="X187" s="1384"/>
      <c r="Y187" s="1384"/>
      <c r="Z187" s="1384"/>
      <c r="AA187" s="1859"/>
      <c r="AB187" s="788"/>
      <c r="AC187" s="788"/>
      <c r="AD187" s="788"/>
      <c r="AE187" s="788"/>
    </row>
    <row s="16671" customFormat="1" customHeight="1" ht="11.25">
      <c r="A188" s="1210"/>
      <c r="B188" s="1863"/>
      <c r="C188" s="1863"/>
      <c r="D188" s="573"/>
      <c r="K188" s="1384"/>
      <c r="L188" s="1863"/>
      <c r="M188" s="1863"/>
      <c r="N188" s="1384"/>
      <c r="O188" s="1384"/>
      <c r="P188" s="1384"/>
      <c r="Q188" s="1384"/>
      <c r="R188" s="1863"/>
      <c r="S188" s="1384"/>
      <c r="T188" s="1384"/>
      <c r="U188" s="766"/>
      <c r="V188" s="1384"/>
      <c r="W188" s="1384"/>
      <c r="X188" s="1384"/>
      <c r="Y188" s="1384"/>
      <c r="Z188" s="1384"/>
      <c r="AA188" s="1859"/>
      <c r="AB188" s="788"/>
      <c r="AC188" s="788"/>
      <c r="AD188" s="788"/>
      <c r="AE188" s="788"/>
    </row>
    <row s="16671" customFormat="1" customHeight="1" ht="11.25">
      <c r="A189" s="1210"/>
      <c r="B189" s="1863"/>
      <c r="C189" s="1863"/>
      <c r="D189" s="573"/>
      <c r="K189" s="1384"/>
      <c r="L189" s="1863"/>
      <c r="M189" s="1863"/>
      <c r="N189" s="1384"/>
      <c r="O189" s="1384"/>
      <c r="P189" s="1384"/>
      <c r="Q189" s="1384"/>
      <c r="R189" s="1863"/>
      <c r="S189" s="1384"/>
      <c r="T189" s="1384"/>
      <c r="U189" s="766"/>
      <c r="V189" s="1384"/>
      <c r="W189" s="1384"/>
      <c r="X189" s="1384"/>
      <c r="Y189" s="1384"/>
      <c r="Z189" s="1384"/>
      <c r="AA189" s="1859"/>
      <c r="AB189" s="788"/>
      <c r="AC189" s="788"/>
      <c r="AD189" s="788"/>
      <c r="AE189" s="788"/>
    </row>
    <row s="16671" customFormat="1" customHeight="1" ht="11.25">
      <c r="A190" s="1210"/>
      <c r="B190" s="1863"/>
      <c r="C190" s="1863"/>
      <c r="D190" s="573"/>
      <c r="K190" s="1384"/>
      <c r="L190" s="1863"/>
      <c r="M190" s="1863"/>
      <c r="N190" s="1384"/>
      <c r="O190" s="1384"/>
      <c r="P190" s="1384"/>
      <c r="Q190" s="1384"/>
      <c r="R190" s="1863"/>
      <c r="S190" s="1384"/>
      <c r="T190" s="1384"/>
      <c r="U190" s="766"/>
      <c r="V190" s="1384"/>
      <c r="W190" s="1384"/>
      <c r="X190" s="1384"/>
      <c r="Y190" s="1384"/>
      <c r="Z190" s="1384"/>
      <c r="AA190" s="1859"/>
      <c r="AB190" s="788"/>
      <c r="AC190" s="788"/>
      <c r="AD190" s="788"/>
      <c r="AE190" s="788"/>
    </row>
    <row s="16671" customFormat="1" customHeight="1" ht="11.25">
      <c r="A191" s="1210"/>
      <c r="B191" s="1863"/>
      <c r="C191" s="1863"/>
      <c r="D191" s="573"/>
      <c r="K191" s="1384"/>
      <c r="L191" s="1863"/>
      <c r="M191" s="1863"/>
      <c r="N191" s="1384"/>
      <c r="O191" s="1384"/>
      <c r="P191" s="1384"/>
      <c r="Q191" s="1384"/>
      <c r="R191" s="1863"/>
      <c r="S191" s="1384"/>
      <c r="T191" s="1384"/>
      <c r="U191" s="766"/>
      <c r="V191" s="1384"/>
      <c r="W191" s="1384"/>
      <c r="X191" s="1384"/>
      <c r="Y191" s="1384"/>
      <c r="Z191" s="1384"/>
      <c r="AA191" s="1859"/>
      <c r="AB191" s="788"/>
      <c r="AC191" s="788"/>
      <c r="AD191" s="788"/>
      <c r="AE191" s="788"/>
    </row>
    <row s="16671" customFormat="1" customHeight="1" ht="11.25">
      <c r="A192" s="1210"/>
      <c r="B192" s="1863"/>
      <c r="C192" s="1863"/>
      <c r="D192" s="573"/>
      <c r="K192" s="1384"/>
      <c r="L192" s="1863"/>
      <c r="M192" s="1863"/>
      <c r="N192" s="1384"/>
      <c r="O192" s="1384"/>
      <c r="P192" s="1384"/>
      <c r="Q192" s="1384"/>
      <c r="R192" s="1863"/>
      <c r="S192" s="1384"/>
      <c r="T192" s="1384"/>
      <c r="U192" s="766"/>
      <c r="V192" s="1384"/>
      <c r="W192" s="1384"/>
      <c r="X192" s="1384"/>
      <c r="Y192" s="1384"/>
      <c r="Z192" s="1384"/>
      <c r="AA192" s="1859"/>
      <c r="AB192" s="788"/>
      <c r="AC192" s="788"/>
      <c r="AD192" s="788"/>
      <c r="AE192" s="788"/>
    </row>
    <row s="16671" customFormat="1" customHeight="1" ht="11.25">
      <c r="A193" s="1210"/>
      <c r="B193" s="1863"/>
      <c r="C193" s="1863"/>
      <c r="D193" s="573"/>
      <c r="K193" s="1384"/>
      <c r="L193" s="1863"/>
      <c r="M193" s="1863"/>
      <c r="N193" s="1384"/>
      <c r="O193" s="1384"/>
      <c r="P193" s="1384"/>
      <c r="Q193" s="1384"/>
      <c r="R193" s="1863"/>
      <c r="S193" s="1384"/>
      <c r="T193" s="1384"/>
      <c r="U193" s="766"/>
      <c r="V193" s="1384"/>
      <c r="W193" s="1384"/>
      <c r="X193" s="1384"/>
      <c r="Y193" s="1384"/>
      <c r="Z193" s="1384"/>
      <c r="AA193" s="1859"/>
      <c r="AB193" s="788"/>
      <c r="AC193" s="788"/>
      <c r="AD193" s="788"/>
      <c r="AE193" s="788"/>
    </row>
    <row s="16671" customFormat="1" customHeight="1" ht="11.25">
      <c r="A194" s="1210"/>
      <c r="B194" s="1863"/>
      <c r="C194" s="1863"/>
      <c r="D194" s="573"/>
      <c r="K194" s="1384"/>
      <c r="L194" s="1863"/>
      <c r="M194" s="1863"/>
      <c r="N194" s="1384"/>
      <c r="O194" s="1384"/>
      <c r="P194" s="1384"/>
      <c r="Q194" s="1384"/>
      <c r="R194" s="1863"/>
      <c r="S194" s="1384"/>
      <c r="T194" s="1384"/>
      <c r="U194" s="766"/>
      <c r="V194" s="1384"/>
      <c r="W194" s="1384"/>
      <c r="X194" s="1384"/>
      <c r="Y194" s="1384"/>
      <c r="Z194" s="1384"/>
      <c r="AA194" s="1859"/>
      <c r="AB194" s="788"/>
      <c r="AC194" s="788"/>
      <c r="AD194" s="788"/>
      <c r="AE194" s="788"/>
    </row>
    <row s="16671" customFormat="1" customHeight="1" ht="11.25">
      <c r="A195" s="1210"/>
      <c r="B195" s="1863"/>
      <c r="C195" s="1863"/>
      <c r="D195" s="573"/>
      <c r="K195" s="1384"/>
      <c r="L195" s="1863"/>
      <c r="M195" s="1863"/>
      <c r="N195" s="1384"/>
      <c r="O195" s="1384"/>
      <c r="P195" s="1384"/>
      <c r="Q195" s="1384"/>
      <c r="R195" s="1863"/>
      <c r="S195" s="1384"/>
      <c r="T195" s="1384"/>
      <c r="U195" s="766"/>
      <c r="V195" s="1384"/>
      <c r="W195" s="1384"/>
      <c r="X195" s="1384"/>
      <c r="Y195" s="1384"/>
      <c r="Z195" s="1384"/>
      <c r="AA195" s="1859"/>
      <c r="AB195" s="788"/>
      <c r="AC195" s="788"/>
      <c r="AD195" s="788"/>
      <c r="AE195" s="788"/>
    </row>
    <row s="16671" customFormat="1" customHeight="1" ht="11.25">
      <c r="A196" s="1210"/>
      <c r="B196" s="1863"/>
      <c r="C196" s="1863"/>
      <c r="D196" s="573"/>
      <c r="K196" s="1384"/>
      <c r="L196" s="1863"/>
      <c r="M196" s="1863"/>
      <c r="N196" s="1384"/>
      <c r="O196" s="1384"/>
      <c r="P196" s="1384"/>
      <c r="Q196" s="1384"/>
      <c r="R196" s="1863"/>
      <c r="S196" s="1384"/>
      <c r="T196" s="1384"/>
      <c r="U196" s="766"/>
      <c r="V196" s="1384"/>
      <c r="W196" s="1384"/>
      <c r="X196" s="1384"/>
      <c r="Y196" s="1384"/>
      <c r="Z196" s="1384"/>
      <c r="AA196" s="1859"/>
      <c r="AB196" s="788"/>
      <c r="AC196" s="788"/>
      <c r="AD196" s="788"/>
      <c r="AE196" s="788"/>
    </row>
    <row s="16671" customFormat="1" customHeight="1" ht="11.25">
      <c r="A197" s="1210"/>
      <c r="B197" s="1863"/>
      <c r="C197" s="1863"/>
      <c r="D197" s="573"/>
      <c r="K197" s="1384"/>
      <c r="L197" s="1863"/>
      <c r="M197" s="1863"/>
      <c r="N197" s="1384"/>
      <c r="O197" s="1384"/>
      <c r="P197" s="1384"/>
      <c r="Q197" s="1384"/>
      <c r="R197" s="1863"/>
      <c r="S197" s="1384"/>
      <c r="T197" s="1384"/>
      <c r="U197" s="766"/>
      <c r="V197" s="1384"/>
      <c r="W197" s="1384"/>
      <c r="X197" s="1384"/>
      <c r="Y197" s="1384"/>
      <c r="Z197" s="1384"/>
      <c r="AA197" s="1859"/>
      <c r="AB197" s="788"/>
      <c r="AC197" s="788"/>
      <c r="AD197" s="788"/>
      <c r="AE197" s="788"/>
    </row>
    <row s="16671" customFormat="1" customHeight="1" ht="11.25">
      <c r="A198" s="1210"/>
      <c r="B198" s="1863"/>
      <c r="C198" s="1863"/>
      <c r="D198" s="573"/>
      <c r="K198" s="1384"/>
      <c r="L198" s="1863"/>
      <c r="M198" s="1863"/>
      <c r="N198" s="1384"/>
      <c r="O198" s="1384"/>
      <c r="P198" s="1384"/>
      <c r="Q198" s="1384"/>
      <c r="R198" s="1863"/>
      <c r="S198" s="1384"/>
      <c r="T198" s="1384"/>
      <c r="U198" s="766"/>
      <c r="V198" s="1384"/>
      <c r="W198" s="1384"/>
      <c r="X198" s="1384"/>
      <c r="Y198" s="1384"/>
      <c r="Z198" s="1384"/>
      <c r="AA198" s="1859"/>
      <c r="AB198" s="788"/>
      <c r="AC198" s="788"/>
      <c r="AD198" s="788"/>
      <c r="AE198" s="788"/>
    </row>
    <row s="16671" customFormat="1" customHeight="1" ht="11.25">
      <c r="A199" s="1210"/>
      <c r="B199" s="1863"/>
      <c r="C199" s="1863"/>
      <c r="D199" s="573"/>
      <c r="K199" s="1384"/>
      <c r="L199" s="1863"/>
      <c r="M199" s="1863"/>
      <c r="N199" s="1384"/>
      <c r="O199" s="1384"/>
      <c r="P199" s="1384"/>
      <c r="Q199" s="1384"/>
      <c r="R199" s="1863"/>
      <c r="S199" s="1384"/>
      <c r="T199" s="1384"/>
      <c r="U199" s="766"/>
      <c r="V199" s="1384"/>
      <c r="W199" s="1384"/>
      <c r="X199" s="1384"/>
      <c r="Y199" s="1384"/>
      <c r="Z199" s="1384"/>
      <c r="AA199" s="1859"/>
      <c r="AB199" s="788"/>
      <c r="AC199" s="788"/>
      <c r="AD199" s="788"/>
      <c r="AE199" s="788"/>
    </row>
    <row s="16671" customFormat="1" customHeight="1" ht="11.25">
      <c r="A200" s="1210"/>
      <c r="B200" s="1863"/>
      <c r="C200" s="1863"/>
      <c r="D200" s="573"/>
      <c r="K200" s="1384"/>
      <c r="L200" s="1863"/>
      <c r="M200" s="1863"/>
      <c r="N200" s="1384"/>
      <c r="O200" s="1384"/>
      <c r="P200" s="1384"/>
      <c r="Q200" s="1384"/>
      <c r="R200" s="1863"/>
      <c r="S200" s="1384"/>
      <c r="T200" s="1384"/>
      <c r="U200" s="766"/>
      <c r="V200" s="1384"/>
      <c r="W200" s="1384"/>
      <c r="X200" s="1384"/>
      <c r="Y200" s="1384"/>
      <c r="Z200" s="1384"/>
      <c r="AA200" s="1859"/>
      <c r="AB200" s="788"/>
      <c r="AC200" s="788"/>
      <c r="AD200" s="788"/>
      <c r="AE200" s="788"/>
    </row>
    <row s="16671" customFormat="1" customHeight="1" ht="11.25">
      <c r="A201" s="1210"/>
      <c r="B201" s="1863"/>
      <c r="C201" s="1863"/>
      <c r="D201" s="573"/>
      <c r="K201" s="1384"/>
      <c r="L201" s="1863"/>
      <c r="M201" s="1863"/>
      <c r="N201" s="1384"/>
      <c r="O201" s="1384"/>
      <c r="P201" s="1384"/>
      <c r="Q201" s="1384"/>
      <c r="R201" s="1863"/>
      <c r="S201" s="1384"/>
      <c r="T201" s="1384"/>
      <c r="U201" s="766"/>
      <c r="V201" s="1384"/>
      <c r="W201" s="1384"/>
      <c r="X201" s="1384"/>
      <c r="Y201" s="1384"/>
      <c r="Z201" s="1384"/>
      <c r="AA201" s="1859"/>
      <c r="AB201" s="788"/>
      <c r="AC201" s="788"/>
      <c r="AD201" s="788"/>
      <c r="AE201" s="788"/>
    </row>
    <row s="16671" customFormat="1" customHeight="1" ht="11.25">
      <c r="A202" s="1210"/>
      <c r="B202" s="1863"/>
      <c r="C202" s="1863"/>
      <c r="D202" s="573"/>
      <c r="K202" s="1384"/>
      <c r="L202" s="1863"/>
      <c r="M202" s="1863"/>
      <c r="N202" s="1384"/>
      <c r="O202" s="1384"/>
      <c r="P202" s="1384"/>
      <c r="Q202" s="1384"/>
      <c r="R202" s="1863"/>
      <c r="S202" s="1384"/>
      <c r="T202" s="1384"/>
      <c r="U202" s="766"/>
      <c r="V202" s="1384"/>
      <c r="W202" s="1384"/>
      <c r="X202" s="1384"/>
      <c r="Y202" s="1384"/>
      <c r="Z202" s="1384"/>
      <c r="AA202" s="1859"/>
      <c r="AB202" s="788"/>
      <c r="AC202" s="788"/>
      <c r="AD202" s="788"/>
      <c r="AE202" s="788"/>
    </row>
    <row s="16671" customFormat="1" customHeight="1" ht="11.25">
      <c r="A203" s="1210"/>
      <c r="B203" s="1863"/>
      <c r="C203" s="1863"/>
      <c r="D203" s="573"/>
      <c r="K203" s="1384"/>
      <c r="L203" s="1863"/>
      <c r="M203" s="1863"/>
      <c r="N203" s="1384"/>
      <c r="O203" s="1384"/>
      <c r="P203" s="1384"/>
      <c r="Q203" s="1384"/>
      <c r="R203" s="1863"/>
      <c r="S203" s="1384"/>
      <c r="T203" s="1384"/>
      <c r="U203" s="766"/>
      <c r="V203" s="1384"/>
      <c r="W203" s="1384"/>
      <c r="X203" s="1384"/>
      <c r="Y203" s="1384"/>
      <c r="Z203" s="1384"/>
      <c r="AA203" s="1859"/>
      <c r="AB203" s="788"/>
      <c r="AC203" s="788"/>
      <c r="AD203" s="788"/>
      <c r="AE203" s="788"/>
    </row>
    <row s="16671" customFormat="1" customHeight="1" ht="11.25">
      <c r="A204" s="1210"/>
      <c r="B204" s="1863"/>
      <c r="C204" s="1863"/>
      <c r="D204" s="573"/>
      <c r="K204" s="1384"/>
      <c r="L204" s="1863"/>
      <c r="M204" s="1863"/>
      <c r="N204" s="1384"/>
      <c r="O204" s="1384"/>
      <c r="P204" s="1384"/>
      <c r="Q204" s="1384"/>
      <c r="R204" s="1863"/>
      <c r="S204" s="1384"/>
      <c r="T204" s="1384"/>
      <c r="U204" s="766"/>
      <c r="V204" s="1384"/>
      <c r="W204" s="1384"/>
      <c r="X204" s="1384"/>
      <c r="Y204" s="1384"/>
      <c r="Z204" s="1384"/>
      <c r="AA204" s="1859"/>
      <c r="AB204" s="788"/>
      <c r="AC204" s="788"/>
      <c r="AD204" s="788"/>
      <c r="AE204" s="788"/>
    </row>
    <row r="208" customHeight="1" ht="11.25">
      <c r="A208" s="1213"/>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row>
    <row customHeight="1" ht="11.25">
      <c r="A209" s="1213"/>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row>
    <row customHeight="1" ht="11.25">
      <c r="A210" s="1213"/>
      <c r="B210" s="1858"/>
      <c r="D210" s="1858"/>
      <c r="K210" s="1858"/>
      <c r="N210" s="1858"/>
      <c r="O210" s="1858"/>
      <c r="P210" s="1858"/>
      <c r="Q210" s="1858"/>
      <c r="S210" s="1858"/>
      <c r="T210" s="1858"/>
      <c r="U210" s="1858"/>
      <c r="V210" s="1858"/>
      <c r="W210" s="1858"/>
      <c r="X210" s="1858"/>
      <c r="Y210" s="1858"/>
      <c r="Z210" s="1858"/>
      <c r="AA210" s="1858"/>
      <c r="AB210" s="1858"/>
      <c r="AC210" s="1858"/>
      <c r="AD210" s="1858"/>
      <c r="AE210" s="1858"/>
    </row>
    <row customHeight="1" ht="11.25">
      <c r="A211" s="1213"/>
      <c r="B211" s="1858"/>
      <c r="D211" s="1858"/>
      <c r="K211" s="1858"/>
      <c r="N211" s="1858"/>
      <c r="O211" s="1858"/>
      <c r="P211" s="1858"/>
      <c r="Q211" s="1858"/>
      <c r="S211" s="1858"/>
      <c r="T211" s="1858"/>
      <c r="U211" s="1858"/>
      <c r="V211" s="1858"/>
      <c r="W211" s="1858"/>
      <c r="X211" s="1858"/>
      <c r="Y211" s="1858"/>
      <c r="Z211" s="1858"/>
      <c r="AA211" s="1858"/>
      <c r="AB211" s="1858"/>
      <c r="AC211" s="1858"/>
      <c r="AD211" s="1858"/>
      <c r="AE211" s="1858"/>
    </row>
    <row customHeight="1" ht="11.25">
      <c r="A212" s="1213"/>
      <c r="B212" s="1858"/>
      <c r="D212" s="1858"/>
      <c r="K212" s="1858"/>
      <c r="N212" s="1858"/>
      <c r="O212" s="1858"/>
      <c r="P212" s="1858"/>
      <c r="Q212" s="1858"/>
      <c r="S212" s="1858"/>
      <c r="T212" s="1858"/>
      <c r="U212" s="1858"/>
      <c r="V212" s="1858"/>
      <c r="W212" s="1858"/>
      <c r="X212" s="1858"/>
      <c r="Y212" s="1858"/>
      <c r="Z212" s="1858"/>
      <c r="AA212" s="1858"/>
      <c r="AB212" s="1858"/>
      <c r="AC212" s="1858"/>
      <c r="AD212" s="1858"/>
      <c r="AE212" s="1858"/>
    </row>
    <row customHeight="1" ht="11.25">
      <c r="A213" s="1213"/>
      <c r="B213" s="1858"/>
      <c r="D213" s="1858"/>
      <c r="K213" s="1858"/>
      <c r="N213" s="1858"/>
      <c r="O213" s="1858"/>
      <c r="P213" s="1858"/>
      <c r="Q213" s="1858"/>
      <c r="S213" s="1858"/>
      <c r="T213" s="1858"/>
      <c r="U213" s="1858"/>
      <c r="V213" s="1858"/>
      <c r="W213" s="1858"/>
      <c r="X213" s="1858"/>
      <c r="Y213" s="1858"/>
      <c r="Z213" s="1858"/>
      <c r="AA213" s="1858"/>
      <c r="AB213" s="1858"/>
      <c r="AC213" s="1858"/>
      <c r="AD213" s="1858"/>
      <c r="AE213" s="1858"/>
    </row>
    <row customHeight="1" ht="11.25">
      <c r="A214" s="1213"/>
      <c r="B214" s="1858"/>
      <c r="D214" s="1858"/>
      <c r="K214" s="1858"/>
      <c r="N214" s="1858"/>
      <c r="O214" s="1858"/>
      <c r="P214" s="1858"/>
      <c r="Q214" s="1858"/>
      <c r="S214" s="1858"/>
      <c r="T214" s="1858"/>
      <c r="U214" s="1858"/>
      <c r="V214" s="1858"/>
      <c r="W214" s="1858"/>
      <c r="X214" s="1858"/>
      <c r="Y214" s="1858"/>
      <c r="Z214" s="1858"/>
      <c r="AA214" s="1858"/>
      <c r="AB214" s="1858"/>
      <c r="AC214" s="1858"/>
      <c r="AD214" s="1858"/>
      <c r="AE214" s="1858"/>
    </row>
    <row customHeight="1" ht="11.25">
      <c r="A215" s="1213"/>
      <c r="B215" s="1858"/>
      <c r="D215" s="1858"/>
      <c r="K215" s="1858"/>
      <c r="N215" s="1858"/>
      <c r="O215" s="1858"/>
      <c r="P215" s="1858"/>
      <c r="Q215" s="1858"/>
      <c r="S215" s="1858"/>
      <c r="T215" s="1858"/>
      <c r="U215" s="1858"/>
      <c r="V215" s="1858"/>
      <c r="W215" s="1858"/>
      <c r="X215" s="1858"/>
      <c r="Y215" s="1858"/>
      <c r="Z215" s="1858"/>
      <c r="AA215" s="1858"/>
      <c r="AB215" s="1858"/>
      <c r="AC215" s="1858"/>
      <c r="AD215" s="1858"/>
      <c r="AE215" s="1858"/>
    </row>
    <row customHeight="1" ht="11.25">
      <c r="A216" s="1213"/>
      <c r="B216" s="1858"/>
      <c r="D216" s="1858"/>
      <c r="K216" s="1858"/>
      <c r="N216" s="1858"/>
      <c r="O216" s="1858"/>
      <c r="P216" s="1858"/>
      <c r="Q216" s="1858"/>
      <c r="S216" s="1858"/>
      <c r="T216" s="1858"/>
      <c r="U216" s="1858"/>
      <c r="V216" s="1858"/>
      <c r="W216" s="1858"/>
      <c r="X216" s="1858"/>
      <c r="Y216" s="1858"/>
      <c r="Z216" s="1858"/>
      <c r="AA216" s="1858"/>
      <c r="AB216" s="1858"/>
      <c r="AC216" s="1858"/>
      <c r="AD216" s="1858"/>
      <c r="AE216" s="1858"/>
    </row>
    <row customHeight="1" ht="11.25">
      <c r="A217" s="1213"/>
      <c r="B217" s="1858"/>
      <c r="D217" s="1858"/>
      <c r="K217" s="1858"/>
      <c r="N217" s="1858"/>
      <c r="O217" s="1858"/>
      <c r="P217" s="1858"/>
      <c r="Q217" s="1858"/>
      <c r="S217" s="1858"/>
      <c r="T217" s="1858"/>
      <c r="U217" s="1858"/>
      <c r="V217" s="1858"/>
      <c r="W217" s="1858"/>
      <c r="X217" s="1858"/>
      <c r="Y217" s="1858"/>
      <c r="Z217" s="1858"/>
      <c r="AA217" s="1858"/>
      <c r="AB217" s="1858"/>
      <c r="AC217" s="1858"/>
      <c r="AD217" s="1858"/>
      <c r="AE217" s="1858"/>
    </row>
    <row customHeight="1" ht="11.25">
      <c r="A218" s="1213"/>
      <c r="B218" s="1858"/>
      <c r="D218" s="1858"/>
      <c r="K218" s="1858"/>
      <c r="N218" s="1858"/>
      <c r="O218" s="1858"/>
      <c r="P218" s="1858"/>
      <c r="Q218" s="1858"/>
      <c r="S218" s="1858"/>
      <c r="T218" s="1858"/>
      <c r="U218" s="1858"/>
      <c r="V218" s="1858"/>
      <c r="W218" s="1858"/>
      <c r="X218" s="1858"/>
      <c r="Y218" s="1858"/>
      <c r="Z218" s="1858"/>
      <c r="AA218" s="1858"/>
      <c r="AB218" s="1858"/>
      <c r="AC218" s="1858"/>
      <c r="AD218" s="1858"/>
      <c r="AE218" s="1858"/>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39754B-F8EC-8BE9-D5A4-589524B51AF3}"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21816" width="10.7109375" hidden="1" customWidth="1"/>
    <col min="2" max="2" style="16550" width="16.8515625" hidden="1" customWidth="1"/>
    <col min="3" max="3" style="16674" width="5.57421875" hidden="1" customWidth="1"/>
    <col min="4" max="4" style="21817" width="3.7109375" customWidth="1"/>
    <col min="5" max="5" style="16676" width="7.7109375" customWidth="1"/>
    <col min="6" max="6" style="16676" width="54.57421875" customWidth="1"/>
    <col min="7" max="7" style="16676" width="10.421875" customWidth="1"/>
    <col min="8" max="8" style="16676" width="40.7109375" hidden="1" customWidth="1"/>
    <col min="9" max="9" style="16676" width="40.7109375" customWidth="1"/>
    <col min="10" max="10" style="16676" width="102.8515625" customWidth="1"/>
    <col min="11" max="11" style="16550" width="9.7109375" customWidth="1"/>
    <col min="12" max="12" style="16674" width="5.28125" customWidth="1"/>
    <col min="13" max="13" style="16674" width="3.7109375" customWidth="1"/>
    <col min="14" max="17" style="16550" width="3.7109375" customWidth="1"/>
    <col min="18" max="18" style="16674" width="10.57421875" customWidth="1"/>
    <col min="19" max="19" style="16550" width="34.7109375" customWidth="1"/>
    <col min="20" max="20" style="16550" width="9.421875" customWidth="1"/>
    <col min="21" max="21" style="21818" width="9.140625"/>
    <col min="22" max="26" style="16550" width="9.140625"/>
    <col min="27" max="31" style="21720" width="9.140625"/>
  </cols>
  <sheetData>
    <row s="16550" customFormat="1" customHeight="1" ht="11.25" hidden="1">
      <c r="A1" s="1210"/>
      <c r="C1" s="1863"/>
      <c r="D1" s="759"/>
      <c r="H1" s="1384">
        <v>4</v>
      </c>
      <c r="I1" s="1384">
        <v>4</v>
      </c>
      <c r="L1" s="1863"/>
      <c r="M1" s="1863"/>
      <c r="R1" s="1863"/>
    </row>
    <row s="16550" customFormat="1" customHeight="1" ht="22.5" hidden="1">
      <c r="A2" s="1210"/>
      <c r="C2" s="1863"/>
      <c r="D2" s="760"/>
      <c r="E2" s="1885"/>
      <c r="F2" s="762"/>
      <c r="G2" s="1884" t="s">
        <v>658</v>
      </c>
      <c r="H2" s="763"/>
      <c r="I2" s="763"/>
      <c r="J2" s="764" t="s">
        <v>661</v>
      </c>
      <c r="K2" s="765"/>
      <c r="L2" s="1863"/>
      <c r="M2" s="1863"/>
      <c r="R2" s="1863"/>
      <c r="U2" s="766"/>
      <c r="AA2" s="1859"/>
      <c r="AB2" s="1859"/>
      <c r="AC2" s="1859"/>
      <c r="AD2" s="1859"/>
      <c r="AE2" s="1859"/>
    </row>
    <row customHeight="1" ht="11.25" hidden="1"/>
    <row s="21720" customFormat="1" customHeight="1" ht="11.25" hidden="1">
      <c r="A4" s="1210"/>
      <c r="B4" s="1384"/>
      <c r="C4" s="1863"/>
      <c r="D4" s="584"/>
      <c r="J4" s="1859">
        <v>4</v>
      </c>
      <c r="K4" s="1384"/>
      <c r="L4" s="1863"/>
      <c r="M4" s="1863"/>
      <c r="N4" s="1384"/>
      <c r="O4" s="1384"/>
      <c r="P4" s="1384"/>
      <c r="Q4" s="1384"/>
      <c r="R4" s="1863"/>
      <c r="S4" s="1384"/>
      <c r="T4" s="1384"/>
      <c r="U4" s="766"/>
      <c r="V4" s="1384"/>
      <c r="W4" s="1384"/>
      <c r="X4" s="1384"/>
      <c r="Y4" s="1384"/>
      <c r="Z4" s="1384"/>
    </row>
    <row r="6" customHeight="1" ht="32.25">
      <c r="E6" s="2421" t="s">
        <v>795</v>
      </c>
      <c r="F6" s="2421"/>
      <c r="G6" s="2421"/>
      <c r="H6" s="2421"/>
      <c r="I6" s="2421"/>
      <c r="J6" s="778"/>
    </row>
    <row customHeight="1" ht="24">
      <c r="E7" s="2422" t="str">
        <f>IF(org=0,"Не определено",org)</f>
        <v>КГУП "Примтеплоэнерго"</v>
      </c>
      <c r="F7" s="2422"/>
      <c r="G7" s="2422"/>
      <c r="H7" s="2422"/>
      <c r="I7" s="2422"/>
    </row>
    <row customHeight="1" ht="11.25">
      <c r="E8" s="1359"/>
      <c r="F8" s="1359"/>
      <c r="G8" s="1359"/>
      <c r="H8" s="1359"/>
      <c r="I8" s="1359"/>
    </row>
    <row s="16674" customFormat="1" customHeight="1" ht="0.75">
      <c r="A9" s="1391"/>
      <c r="D9" s="1869"/>
      <c r="H9" s="1111"/>
      <c r="I9" s="1111" t="s">
        <v>173</v>
      </c>
    </row>
    <row customHeight="1" ht="11.25">
      <c r="E10" s="933"/>
      <c r="F10" s="2497" t="s">
        <v>164</v>
      </c>
      <c r="G10" s="2498"/>
      <c r="H10" s="1886" t="str">
        <f>IF(H9="","",INDEX(DIFFERENTIATION_UNMERGE_VD,MATCH(H9,DIFFERENTIATION_ID_DIFF,0)))</f>
        <v/>
      </c>
      <c r="I10" s="1886">
        <f>IF(I9="","",INDEX(DIFFERENTIATION_UNMERGE_VD,MATCH(I9,DIFFERENTIATION_ID_DIFF,0)))</f>
        <v>0</v>
      </c>
      <c r="J10" s="2253"/>
    </row>
    <row customHeight="1" ht="11.25">
      <c r="E11" s="933"/>
      <c r="F11" s="2497" t="s">
        <v>670</v>
      </c>
      <c r="G11" s="2498"/>
      <c r="H11" s="1886" t="str">
        <f>IF(H9="","",INDEX(DIFFERENTIATION_UNMERGE_AREA,MATCH(H9,DIFFERENTIATION_ID_DIFF,0)))</f>
        <v/>
      </c>
      <c r="I11" s="1886" t="str">
        <f>IF(I9="","",INDEX(DIFFERENTIATION_UNMERGE_AREA,MATCH(I9,DIFFERENTIATION_ID_DIFF,0)))</f>
        <v/>
      </c>
      <c r="J11" s="2253"/>
    </row>
    <row customHeight="1" ht="11.25" hidden="1">
      <c r="E12" s="1889"/>
      <c r="F12" s="2512" t="s">
        <v>671</v>
      </c>
      <c r="G12" s="2513"/>
      <c r="H12" s="1890" t="str">
        <f>IF(H9="","",INDEX(DIFFERENTIATION_UNMERGE_SYSTEM,MATCH(H9,DIFFERENTIATION_ID_DIFF,0)))</f>
        <v/>
      </c>
      <c r="I12" s="1890" t="str">
        <f>IF(I9="","",INDEX(DIFFERENTIATION_UNMERGE_SYSTEM,MATCH(I9,DIFFERENTIATION_ID_DIFF,0)))</f>
        <v>без дифференциации</v>
      </c>
      <c r="J12" s="2253"/>
    </row>
    <row customHeight="1" ht="11.25">
      <c r="E13" s="2499" t="s">
        <v>406</v>
      </c>
      <c r="F13" s="2500"/>
      <c r="G13" s="2500"/>
      <c r="H13" s="1883"/>
      <c r="I13" s="1883"/>
      <c r="J13" s="2253"/>
    </row>
    <row customHeight="1" ht="22.5">
      <c r="E14" s="1884" t="s">
        <v>84</v>
      </c>
      <c r="F14" s="1887" t="s">
        <v>408</v>
      </c>
      <c r="G14" s="1887" t="s">
        <v>672</v>
      </c>
      <c r="H14" s="1887" t="s">
        <v>409</v>
      </c>
      <c r="I14" s="1887" t="s">
        <v>409</v>
      </c>
      <c r="J14" s="2253"/>
    </row>
    <row customHeight="1" ht="18.75">
      <c r="D15" s="1865"/>
      <c r="E15" s="1857" t="s">
        <v>168</v>
      </c>
      <c r="F15" s="929" t="s">
        <v>796</v>
      </c>
      <c r="G15" s="1884" t="s">
        <v>658</v>
      </c>
      <c r="H15" s="779"/>
      <c r="I15" s="779"/>
      <c r="J15" s="511" t="s">
        <v>797</v>
      </c>
      <c r="K15" s="765" t="s">
        <v>725</v>
      </c>
    </row>
    <row customHeight="1" ht="22.5">
      <c r="D16" s="1865"/>
      <c r="E16" s="1857" t="s">
        <v>99</v>
      </c>
      <c r="F16" s="1892" t="s">
        <v>798</v>
      </c>
      <c r="G16" s="1884" t="s">
        <v>658</v>
      </c>
      <c r="H16" s="780">
        <f>SUM(H17,H20:H27)</f>
        <v>0</v>
      </c>
      <c r="I16" s="780">
        <f>SUM(I17,I20:I27)</f>
        <v>0</v>
      </c>
      <c r="J16" s="511" t="s">
        <v>799</v>
      </c>
      <c r="K16" s="765" t="s">
        <v>725</v>
      </c>
    </row>
    <row customHeight="1" ht="33.75">
      <c r="D17" s="1865"/>
      <c r="E17" s="1891" t="s">
        <v>728</v>
      </c>
      <c r="F17" s="1894" t="s">
        <v>800</v>
      </c>
      <c r="G17" s="1881" t="s">
        <v>658</v>
      </c>
      <c r="H17" s="779"/>
      <c r="I17" s="779"/>
      <c r="J17" s="511" t="s">
        <v>801</v>
      </c>
      <c r="K17" s="765"/>
    </row>
    <row customHeight="1" ht="18.75">
      <c r="D18" s="1865"/>
      <c r="E18" s="1891" t="s">
        <v>731</v>
      </c>
      <c r="F18" s="1895" t="s">
        <v>802</v>
      </c>
      <c r="G18" s="1881" t="s">
        <v>658</v>
      </c>
      <c r="H18" s="779"/>
      <c r="I18" s="779"/>
      <c r="J18" s="511"/>
      <c r="K18" s="765"/>
    </row>
    <row customHeight="1" ht="22.5">
      <c r="D19" s="1865"/>
      <c r="E19" s="1891" t="s">
        <v>734</v>
      </c>
      <c r="F19" s="1895" t="s">
        <v>803</v>
      </c>
      <c r="G19" s="1881" t="s">
        <v>658</v>
      </c>
      <c r="H19" s="779"/>
      <c r="I19" s="779"/>
      <c r="J19" s="511"/>
      <c r="K19" s="765"/>
    </row>
    <row customHeight="1" ht="33.75">
      <c r="D20" s="1865"/>
      <c r="E20" s="1891" t="s">
        <v>413</v>
      </c>
      <c r="F20" s="1894" t="s">
        <v>804</v>
      </c>
      <c r="G20" s="1881" t="s">
        <v>658</v>
      </c>
      <c r="H20" s="779"/>
      <c r="I20" s="779"/>
      <c r="J20" s="511"/>
      <c r="K20" s="765"/>
    </row>
    <row customHeight="1" ht="33.75">
      <c r="D21" s="1865"/>
      <c r="E21" s="1891" t="s">
        <v>416</v>
      </c>
      <c r="F21" s="1894" t="s">
        <v>805</v>
      </c>
      <c r="G21" s="1881" t="s">
        <v>658</v>
      </c>
      <c r="H21" s="779"/>
      <c r="I21" s="779"/>
      <c r="J21" s="511"/>
      <c r="K21" s="765"/>
    </row>
    <row customHeight="1" ht="56.25">
      <c r="D22" s="1865"/>
      <c r="E22" s="1891" t="s">
        <v>748</v>
      </c>
      <c r="F22" s="1894" t="s">
        <v>806</v>
      </c>
      <c r="G22" s="1881" t="s">
        <v>658</v>
      </c>
      <c r="H22" s="779"/>
      <c r="I22" s="779"/>
      <c r="J22" s="511"/>
      <c r="K22" s="765"/>
    </row>
    <row customHeight="1" ht="33.75">
      <c r="D23" s="1865"/>
      <c r="E23" s="1891" t="s">
        <v>755</v>
      </c>
      <c r="F23" s="1894" t="s">
        <v>807</v>
      </c>
      <c r="G23" s="1881" t="s">
        <v>658</v>
      </c>
      <c r="H23" s="779"/>
      <c r="I23" s="779"/>
      <c r="J23" s="511"/>
      <c r="K23" s="765"/>
    </row>
    <row customHeight="1" ht="33.75">
      <c r="D24" s="1865"/>
      <c r="E24" s="1891" t="s">
        <v>757</v>
      </c>
      <c r="F24" s="1894" t="s">
        <v>808</v>
      </c>
      <c r="G24" s="1881" t="s">
        <v>658</v>
      </c>
      <c r="H24" s="779"/>
      <c r="I24" s="779"/>
      <c r="J24" s="511"/>
      <c r="K24" s="765"/>
    </row>
    <row customHeight="1" ht="22.5">
      <c r="D25" s="1865"/>
      <c r="E25" s="1891" t="s">
        <v>759</v>
      </c>
      <c r="F25" s="1894" t="s">
        <v>809</v>
      </c>
      <c r="G25" s="1881" t="s">
        <v>658</v>
      </c>
      <c r="H25" s="779"/>
      <c r="I25" s="779"/>
      <c r="J25" s="511"/>
      <c r="K25" s="765"/>
    </row>
    <row customHeight="1" ht="67.5">
      <c r="D26" s="1865"/>
      <c r="E26" s="1891" t="s">
        <v>761</v>
      </c>
      <c r="F26" s="1894" t="s">
        <v>810</v>
      </c>
      <c r="G26" s="1881" t="s">
        <v>658</v>
      </c>
      <c r="H26" s="779"/>
      <c r="I26" s="779"/>
      <c r="J26" s="511"/>
      <c r="K26" s="765"/>
    </row>
    <row s="16550" customFormat="1" customHeight="1" ht="22.5">
      <c r="A27" s="1210"/>
      <c r="C27" s="1863"/>
      <c r="D27" s="1865"/>
      <c r="E27" s="1856" t="s">
        <v>765</v>
      </c>
      <c r="F27" s="1855" t="s">
        <v>811</v>
      </c>
      <c r="G27" s="1882" t="s">
        <v>658</v>
      </c>
      <c r="H27" s="801">
        <f>SUM(H28:H29)</f>
        <v>0</v>
      </c>
      <c r="I27" s="801">
        <f>SUM(I28:I29)</f>
        <v>0</v>
      </c>
      <c r="J27" s="511" t="s">
        <v>763</v>
      </c>
      <c r="K27" s="765"/>
      <c r="L27" s="1863"/>
      <c r="M27" s="1863"/>
      <c r="R27" s="1863"/>
      <c r="U27" s="766"/>
      <c r="AA27" s="1859"/>
      <c r="AB27" s="1859"/>
      <c r="AC27" s="1859"/>
      <c r="AD27" s="1859"/>
      <c r="AE27" s="1859"/>
    </row>
    <row s="16674" customFormat="1" customHeight="1" ht="0.75">
      <c r="A28" s="1391"/>
      <c r="D28" s="770"/>
      <c r="E28" s="1024" t="str">
        <f>E27&amp;".0"</f>
        <v>2.9.0</v>
      </c>
      <c r="F28" s="1214"/>
      <c r="G28" s="773"/>
      <c r="H28" s="1215"/>
      <c r="I28" s="1215"/>
      <c r="J28" s="1216"/>
    </row>
    <row s="16550" customFormat="1" customHeight="1" ht="18.75">
      <c r="A29" s="1210"/>
      <c r="C29" s="1863"/>
      <c r="D29" s="1860"/>
      <c r="E29" s="792"/>
      <c r="F29" s="1893" t="s">
        <v>683</v>
      </c>
      <c r="G29" s="794"/>
      <c r="H29" s="795"/>
      <c r="I29" s="795"/>
      <c r="J29" s="523" t="s">
        <v>764</v>
      </c>
      <c r="K29" s="765"/>
      <c r="L29" s="1863"/>
      <c r="M29" s="1863"/>
      <c r="R29" s="1863"/>
      <c r="U29" s="766"/>
      <c r="AA29" s="1859"/>
      <c r="AB29" s="1859"/>
      <c r="AC29" s="1859"/>
      <c r="AD29" s="1859"/>
      <c r="AE29" s="1859"/>
    </row>
    <row s="16550" customFormat="1" customHeight="1" ht="22.5">
      <c r="A30" s="1210"/>
      <c r="C30" s="1863"/>
      <c r="D30" s="1865"/>
      <c r="E30" s="1891" t="s">
        <v>86</v>
      </c>
      <c r="F30" s="1888" t="s">
        <v>812</v>
      </c>
      <c r="G30" s="1881" t="s">
        <v>658</v>
      </c>
      <c r="H30" s="779"/>
      <c r="I30" s="779"/>
      <c r="J30" s="511"/>
      <c r="K30" s="765"/>
      <c r="L30" s="1863"/>
      <c r="M30" s="1863"/>
      <c r="R30" s="1863"/>
      <c r="U30" s="766"/>
      <c r="AA30" s="1859"/>
      <c r="AB30" s="1859"/>
      <c r="AC30" s="1859"/>
      <c r="AD30" s="1859"/>
      <c r="AE30" s="1859"/>
    </row>
    <row s="16550" customFormat="1" customHeight="1" ht="33.75">
      <c r="A31" s="1210"/>
      <c r="C31" s="1863"/>
      <c r="D31" s="797"/>
      <c r="E31" s="1891" t="s">
        <v>87</v>
      </c>
      <c r="F31" s="1888" t="s">
        <v>813</v>
      </c>
      <c r="G31" s="1881" t="s">
        <v>658</v>
      </c>
      <c r="H31" s="779"/>
      <c r="I31" s="779"/>
      <c r="J31" s="511" t="s">
        <v>814</v>
      </c>
      <c r="K31" s="765"/>
      <c r="L31" s="1863"/>
      <c r="M31" s="1863"/>
      <c r="R31" s="1863"/>
      <c r="U31" s="766"/>
      <c r="AA31" s="1859"/>
      <c r="AB31" s="1859"/>
      <c r="AC31" s="1859"/>
      <c r="AD31" s="1859"/>
      <c r="AE31" s="1859"/>
    </row>
    <row s="16550" customFormat="1" customHeight="1" ht="22.5">
      <c r="A32" s="1210"/>
      <c r="C32" s="1863"/>
      <c r="D32" s="1865"/>
      <c r="E32" s="1891" t="s">
        <v>773</v>
      </c>
      <c r="F32" s="912" t="s">
        <v>777</v>
      </c>
      <c r="G32" s="1881" t="s">
        <v>658</v>
      </c>
      <c r="H32" s="779"/>
      <c r="I32" s="779"/>
      <c r="J32" s="511" t="s">
        <v>815</v>
      </c>
      <c r="K32" s="765"/>
      <c r="L32" s="1863"/>
      <c r="M32" s="1863"/>
      <c r="R32" s="1863"/>
      <c r="U32" s="766"/>
      <c r="AA32" s="1859"/>
      <c r="AB32" s="1859"/>
      <c r="AC32" s="1859"/>
      <c r="AD32" s="1859"/>
      <c r="AE32" s="1859"/>
    </row>
    <row s="16550" customFormat="1" customHeight="1" ht="22.5">
      <c r="A33" s="1210"/>
      <c r="C33" s="1863"/>
      <c r="D33" s="1865"/>
      <c r="E33" s="1891" t="s">
        <v>816</v>
      </c>
      <c r="F33" s="912" t="s">
        <v>817</v>
      </c>
      <c r="G33" s="1881" t="s">
        <v>658</v>
      </c>
      <c r="H33" s="779"/>
      <c r="I33" s="779"/>
      <c r="J33" s="511" t="s">
        <v>818</v>
      </c>
      <c r="K33" s="765"/>
      <c r="L33" s="1863"/>
      <c r="M33" s="1863"/>
      <c r="R33" s="1863"/>
      <c r="U33" s="766"/>
      <c r="AA33" s="1859"/>
      <c r="AB33" s="1859"/>
      <c r="AC33" s="1859"/>
      <c r="AD33" s="1859"/>
      <c r="AE33" s="1859"/>
    </row>
    <row s="16550" customFormat="1" customHeight="1" ht="22.5">
      <c r="A34" s="1210"/>
      <c r="C34" s="1863"/>
      <c r="D34" s="1865"/>
      <c r="E34" s="1891" t="s">
        <v>819</v>
      </c>
      <c r="F34" s="912" t="s">
        <v>783</v>
      </c>
      <c r="G34" s="1881" t="s">
        <v>658</v>
      </c>
      <c r="H34" s="779"/>
      <c r="I34" s="779"/>
      <c r="J34" s="511" t="s">
        <v>820</v>
      </c>
      <c r="K34" s="765"/>
      <c r="L34" s="1863"/>
      <c r="M34" s="1863"/>
      <c r="R34" s="1863"/>
      <c r="U34" s="766"/>
      <c r="AA34" s="1859"/>
      <c r="AB34" s="1859"/>
      <c r="AC34" s="1859"/>
      <c r="AD34" s="1859"/>
      <c r="AE34" s="1859"/>
    </row>
    <row s="16550" customFormat="1" customHeight="1" ht="33.75">
      <c r="A35" s="1210"/>
      <c r="C35" s="1863" t="s">
        <v>694</v>
      </c>
      <c r="D35" s="1865"/>
      <c r="E35" s="1891" t="s">
        <v>113</v>
      </c>
      <c r="F35" s="1888" t="s">
        <v>785</v>
      </c>
      <c r="G35" s="1884" t="s">
        <v>412</v>
      </c>
      <c r="H35" s="623"/>
      <c r="I35" s="623"/>
      <c r="J35" s="511" t="s">
        <v>821</v>
      </c>
      <c r="K35" s="765"/>
      <c r="L35" s="1863"/>
      <c r="M35" s="1863"/>
      <c r="R35" s="1863"/>
      <c r="U35" s="766"/>
      <c r="AA35" s="1859"/>
      <c r="AB35" s="1859"/>
      <c r="AC35" s="1859"/>
      <c r="AD35" s="1859"/>
      <c r="AE35" s="1859"/>
    </row>
    <row s="16550" customFormat="1" customHeight="1" ht="22.5">
      <c r="A36" s="1210"/>
      <c r="C36" s="1863"/>
      <c r="D36" s="1865"/>
      <c r="E36" s="1891" t="s">
        <v>88</v>
      </c>
      <c r="F36" s="1888" t="s">
        <v>822</v>
      </c>
      <c r="G36" s="1881" t="s">
        <v>789</v>
      </c>
      <c r="H36" s="767"/>
      <c r="I36" s="767"/>
      <c r="J36" s="511" t="s">
        <v>790</v>
      </c>
      <c r="K36" s="765"/>
      <c r="L36" s="1863"/>
      <c r="M36" s="1863"/>
      <c r="R36" s="1863"/>
      <c r="U36" s="766"/>
      <c r="AA36" s="1859"/>
      <c r="AB36" s="1859"/>
      <c r="AC36" s="1859"/>
      <c r="AD36" s="1859"/>
      <c r="AE36" s="1859"/>
    </row>
    <row s="16550" customFormat="1" customHeight="1" ht="22.5">
      <c r="A37" s="1210"/>
      <c r="C37" s="1863"/>
      <c r="D37" s="1865"/>
      <c r="E37" s="1891" t="s">
        <v>89</v>
      </c>
      <c r="F37" s="1888" t="s">
        <v>823</v>
      </c>
      <c r="G37" s="1881" t="s">
        <v>792</v>
      </c>
      <c r="H37" s="767"/>
      <c r="I37" s="767"/>
      <c r="J37" s="511" t="s">
        <v>793</v>
      </c>
      <c r="K37" s="765"/>
      <c r="L37" s="1863"/>
      <c r="M37" s="1863"/>
      <c r="R37" s="1863"/>
      <c r="U37" s="766"/>
      <c r="AA37" s="1859"/>
      <c r="AB37" s="1859"/>
      <c r="AC37" s="1859"/>
      <c r="AD37" s="1859"/>
      <c r="AE37" s="1859"/>
    </row>
    <row customHeight="1" ht="11.25">
      <c r="D38" s="1865"/>
    </row>
    <row customHeight="1" ht="26.25">
      <c r="D39" s="1865"/>
      <c r="E39" s="1479" t="s">
        <v>824</v>
      </c>
      <c r="F39" s="2387" t="s">
        <v>825</v>
      </c>
      <c r="G39" s="2387"/>
      <c r="H39" s="2387"/>
      <c r="I39" s="2387"/>
      <c r="J39" s="2387"/>
    </row>
    <row s="16671" customFormat="1" customHeight="1" ht="37.5">
      <c r="A40" s="1210"/>
      <c r="B40" s="1863"/>
      <c r="C40" s="1863"/>
      <c r="D40" s="573"/>
      <c r="F40" s="2387" t="s">
        <v>826</v>
      </c>
      <c r="G40" s="2387"/>
      <c r="H40" s="2387"/>
      <c r="I40" s="2387"/>
      <c r="J40" s="2387"/>
      <c r="K40" s="1384"/>
      <c r="L40" s="1863"/>
      <c r="M40" s="1863"/>
      <c r="N40" s="1384"/>
      <c r="O40" s="1384"/>
      <c r="P40" s="1384"/>
      <c r="Q40" s="1384"/>
      <c r="R40" s="1863"/>
      <c r="S40" s="1384"/>
      <c r="T40" s="1384"/>
      <c r="U40" s="766"/>
      <c r="V40" s="1384"/>
      <c r="W40" s="1384"/>
      <c r="X40" s="1384"/>
      <c r="Y40" s="1384"/>
      <c r="Z40" s="1384"/>
      <c r="AA40" s="1859"/>
      <c r="AB40" s="788"/>
      <c r="AC40" s="788"/>
      <c r="AD40" s="788"/>
      <c r="AE40" s="788"/>
    </row>
    <row s="16671" customFormat="1" customHeight="1" ht="11.25">
      <c r="A41" s="1210"/>
      <c r="B41" s="1863"/>
      <c r="C41" s="1863"/>
      <c r="D41" s="573"/>
      <c r="K41" s="1384"/>
      <c r="L41" s="1863"/>
      <c r="M41" s="1863"/>
      <c r="N41" s="1384"/>
      <c r="O41" s="1384"/>
      <c r="P41" s="1384"/>
      <c r="Q41" s="1384"/>
      <c r="R41" s="1863"/>
      <c r="S41" s="1384"/>
      <c r="T41" s="1384"/>
      <c r="U41" s="766"/>
      <c r="V41" s="1384"/>
      <c r="W41" s="1384"/>
      <c r="X41" s="1384"/>
      <c r="Y41" s="1384"/>
      <c r="Z41" s="1384"/>
      <c r="AA41" s="1859"/>
      <c r="AB41" s="788"/>
      <c r="AC41" s="788"/>
      <c r="AD41" s="788"/>
      <c r="AE41" s="788"/>
    </row>
    <row s="16671" customFormat="1" customHeight="1" ht="11.25">
      <c r="A42" s="1210"/>
      <c r="B42" s="1863"/>
      <c r="C42" s="1863"/>
      <c r="D42" s="573"/>
      <c r="K42" s="1384"/>
      <c r="L42" s="1863"/>
      <c r="M42" s="1863"/>
      <c r="N42" s="1384"/>
      <c r="O42" s="1384"/>
      <c r="P42" s="1384"/>
      <c r="Q42" s="1384"/>
      <c r="R42" s="1863"/>
      <c r="S42" s="1384"/>
      <c r="T42" s="1384"/>
      <c r="U42" s="766"/>
      <c r="V42" s="1384"/>
      <c r="W42" s="1384"/>
      <c r="X42" s="1384"/>
      <c r="Y42" s="1384"/>
      <c r="Z42" s="1384"/>
      <c r="AA42" s="1859"/>
      <c r="AB42" s="788"/>
      <c r="AC42" s="788"/>
      <c r="AD42" s="788"/>
      <c r="AE42" s="788"/>
    </row>
    <row s="16671" customFormat="1" customHeight="1" ht="11.25">
      <c r="A43" s="1210"/>
      <c r="B43" s="1863"/>
      <c r="C43" s="1863"/>
      <c r="D43" s="573"/>
      <c r="H43" s="788"/>
      <c r="I43" s="788"/>
      <c r="K43" s="1384"/>
      <c r="L43" s="1863"/>
      <c r="M43" s="1863"/>
      <c r="N43" s="1384"/>
      <c r="O43" s="1384"/>
      <c r="P43" s="1384"/>
      <c r="Q43" s="1384"/>
      <c r="R43" s="1863"/>
      <c r="S43" s="1384"/>
      <c r="T43" s="1384"/>
      <c r="U43" s="766"/>
      <c r="V43" s="1384"/>
      <c r="W43" s="1384"/>
      <c r="X43" s="1384"/>
      <c r="Y43" s="1384"/>
      <c r="Z43" s="1384"/>
      <c r="AA43" s="1859"/>
      <c r="AB43" s="788"/>
      <c r="AC43" s="788"/>
      <c r="AD43" s="788"/>
      <c r="AE43" s="788"/>
    </row>
    <row s="16671" customFormat="1" customHeight="1" ht="11.25">
      <c r="A44" s="1210"/>
      <c r="B44" s="1863"/>
      <c r="C44" s="1863"/>
      <c r="D44" s="573"/>
      <c r="K44" s="1384"/>
      <c r="L44" s="1863"/>
      <c r="M44" s="1863"/>
      <c r="N44" s="1384"/>
      <c r="O44" s="1384"/>
      <c r="P44" s="1384"/>
      <c r="Q44" s="1384"/>
      <c r="R44" s="1863"/>
      <c r="S44" s="1384"/>
      <c r="T44" s="1384"/>
      <c r="U44" s="766"/>
      <c r="V44" s="1384"/>
      <c r="W44" s="1384"/>
      <c r="X44" s="1384"/>
      <c r="Y44" s="1384"/>
      <c r="Z44" s="1384"/>
      <c r="AA44" s="1859"/>
      <c r="AB44" s="788"/>
      <c r="AC44" s="788"/>
      <c r="AD44" s="788"/>
      <c r="AE44" s="788"/>
    </row>
    <row s="16671" customFormat="1" customHeight="1" ht="11.25">
      <c r="A45" s="1210"/>
      <c r="B45" s="1863"/>
      <c r="C45" s="1863"/>
      <c r="D45" s="573"/>
      <c r="K45" s="1384"/>
      <c r="L45" s="1863"/>
      <c r="M45" s="1863"/>
      <c r="N45" s="1384"/>
      <c r="O45" s="1384"/>
      <c r="P45" s="1384"/>
      <c r="Q45" s="1384"/>
      <c r="R45" s="1863"/>
      <c r="S45" s="1384"/>
      <c r="T45" s="1384"/>
      <c r="U45" s="766"/>
      <c r="V45" s="1384"/>
      <c r="W45" s="1384"/>
      <c r="X45" s="1384"/>
      <c r="Y45" s="1384"/>
      <c r="Z45" s="1384"/>
      <c r="AA45" s="1859"/>
      <c r="AB45" s="788"/>
      <c r="AC45" s="788"/>
      <c r="AD45" s="788"/>
      <c r="AE45" s="788"/>
    </row>
    <row s="16671" customFormat="1" customHeight="1" ht="11.25">
      <c r="A46" s="1210"/>
      <c r="B46" s="1863"/>
      <c r="C46" s="1863"/>
      <c r="D46" s="573"/>
      <c r="K46" s="1384"/>
      <c r="L46" s="1863"/>
      <c r="M46" s="1863"/>
      <c r="N46" s="1384"/>
      <c r="O46" s="1384"/>
      <c r="P46" s="1384"/>
      <c r="Q46" s="1384"/>
      <c r="R46" s="1863"/>
      <c r="S46" s="1384"/>
      <c r="T46" s="1384"/>
      <c r="U46" s="766"/>
      <c r="V46" s="1384"/>
      <c r="W46" s="1384"/>
      <c r="X46" s="1384"/>
      <c r="Y46" s="1384"/>
      <c r="Z46" s="1384"/>
      <c r="AA46" s="1859"/>
      <c r="AB46" s="788"/>
      <c r="AC46" s="788"/>
      <c r="AD46" s="788"/>
      <c r="AE46" s="788"/>
    </row>
    <row s="16671" customFormat="1" customHeight="1" ht="11.25">
      <c r="A47" s="1210"/>
      <c r="B47" s="1863"/>
      <c r="C47" s="1863"/>
      <c r="D47" s="573"/>
      <c r="K47" s="1384"/>
      <c r="L47" s="1863"/>
      <c r="M47" s="1863"/>
      <c r="N47" s="1384"/>
      <c r="O47" s="1384"/>
      <c r="P47" s="1384"/>
      <c r="Q47" s="1384"/>
      <c r="R47" s="1863"/>
      <c r="S47" s="1384"/>
      <c r="T47" s="1384"/>
      <c r="U47" s="766"/>
      <c r="V47" s="1384"/>
      <c r="W47" s="1384"/>
      <c r="X47" s="1384"/>
      <c r="Y47" s="1384"/>
      <c r="Z47" s="1384"/>
      <c r="AA47" s="1859"/>
      <c r="AB47" s="788"/>
      <c r="AC47" s="788"/>
      <c r="AD47" s="788"/>
      <c r="AE47" s="788"/>
    </row>
    <row s="16671" customFormat="1" customHeight="1" ht="11.25">
      <c r="A48" s="1210"/>
      <c r="B48" s="1863"/>
      <c r="C48" s="1863"/>
      <c r="D48" s="573"/>
      <c r="K48" s="1384"/>
      <c r="L48" s="1863"/>
      <c r="M48" s="1863"/>
      <c r="N48" s="1384"/>
      <c r="O48" s="1384"/>
      <c r="P48" s="1384"/>
      <c r="Q48" s="1384"/>
      <c r="R48" s="1863"/>
      <c r="S48" s="1384"/>
      <c r="T48" s="1384"/>
      <c r="U48" s="766"/>
      <c r="V48" s="1384"/>
      <c r="W48" s="1384"/>
      <c r="X48" s="1384"/>
      <c r="Y48" s="1384"/>
      <c r="Z48" s="1384"/>
      <c r="AA48" s="1859"/>
      <c r="AB48" s="788"/>
      <c r="AC48" s="788"/>
      <c r="AD48" s="788"/>
      <c r="AE48" s="788"/>
    </row>
    <row s="16671" customFormat="1" customHeight="1" ht="11.25">
      <c r="A49" s="1210"/>
      <c r="B49" s="1863"/>
      <c r="C49" s="1863"/>
      <c r="D49" s="573"/>
      <c r="K49" s="1384"/>
      <c r="L49" s="1863"/>
      <c r="M49" s="1863"/>
      <c r="N49" s="1384"/>
      <c r="O49" s="1384"/>
      <c r="P49" s="1384"/>
      <c r="Q49" s="1384"/>
      <c r="R49" s="1863"/>
      <c r="S49" s="1384"/>
      <c r="T49" s="1384"/>
      <c r="U49" s="766"/>
      <c r="V49" s="1384"/>
      <c r="W49" s="1384"/>
      <c r="X49" s="1384"/>
      <c r="Y49" s="1384"/>
      <c r="Z49" s="1384"/>
      <c r="AA49" s="1859"/>
      <c r="AB49" s="788"/>
      <c r="AC49" s="788"/>
      <c r="AD49" s="788"/>
      <c r="AE49" s="788"/>
    </row>
    <row s="16671" customFormat="1" customHeight="1" ht="11.25">
      <c r="A50" s="1210"/>
      <c r="B50" s="1863"/>
      <c r="C50" s="1863"/>
      <c r="D50" s="573"/>
      <c r="K50" s="1384"/>
      <c r="L50" s="1863"/>
      <c r="M50" s="1863"/>
      <c r="N50" s="1384"/>
      <c r="O50" s="1384"/>
      <c r="P50" s="1384"/>
      <c r="Q50" s="1384"/>
      <c r="R50" s="1863"/>
      <c r="S50" s="1384"/>
      <c r="T50" s="1384"/>
      <c r="U50" s="766"/>
      <c r="V50" s="1384"/>
      <c r="W50" s="1384"/>
      <c r="X50" s="1384"/>
      <c r="Y50" s="1384"/>
      <c r="Z50" s="1384"/>
      <c r="AA50" s="1859"/>
      <c r="AB50" s="788"/>
      <c r="AC50" s="788"/>
      <c r="AD50" s="788"/>
      <c r="AE50" s="788"/>
    </row>
    <row s="16671" customFormat="1" customHeight="1" ht="11.25">
      <c r="A51" s="1210"/>
      <c r="B51" s="1863"/>
      <c r="C51" s="1863"/>
      <c r="D51" s="573"/>
      <c r="K51" s="1384"/>
      <c r="L51" s="1863"/>
      <c r="M51" s="1863"/>
      <c r="N51" s="1384"/>
      <c r="O51" s="1384"/>
      <c r="P51" s="1384"/>
      <c r="Q51" s="1384"/>
      <c r="R51" s="1863"/>
      <c r="S51" s="1384"/>
      <c r="T51" s="1384"/>
      <c r="U51" s="766"/>
      <c r="V51" s="1384"/>
      <c r="W51" s="1384"/>
      <c r="X51" s="1384"/>
      <c r="Y51" s="1384"/>
      <c r="Z51" s="1384"/>
      <c r="AA51" s="1859"/>
      <c r="AB51" s="788"/>
      <c r="AC51" s="788"/>
      <c r="AD51" s="788"/>
      <c r="AE51" s="788"/>
    </row>
    <row s="16671" customFormat="1" customHeight="1" ht="11.25">
      <c r="A52" s="1210"/>
      <c r="B52" s="1863"/>
      <c r="C52" s="1863"/>
      <c r="D52" s="573"/>
      <c r="K52" s="1384"/>
      <c r="L52" s="1863"/>
      <c r="M52" s="1863"/>
      <c r="N52" s="1384"/>
      <c r="O52" s="1384"/>
      <c r="P52" s="1384"/>
      <c r="Q52" s="1384"/>
      <c r="R52" s="1863"/>
      <c r="S52" s="1384"/>
      <c r="T52" s="1384"/>
      <c r="U52" s="766"/>
      <c r="V52" s="1384"/>
      <c r="W52" s="1384"/>
      <c r="X52" s="1384"/>
      <c r="Y52" s="1384"/>
      <c r="Z52" s="1384"/>
      <c r="AA52" s="1859"/>
      <c r="AB52" s="788"/>
      <c r="AC52" s="788"/>
      <c r="AD52" s="788"/>
      <c r="AE52" s="788"/>
    </row>
    <row s="16671" customFormat="1" customHeight="1" ht="11.25">
      <c r="A53" s="1210"/>
      <c r="B53" s="1863"/>
      <c r="C53" s="1863"/>
      <c r="D53" s="573"/>
      <c r="K53" s="1384"/>
      <c r="L53" s="1863"/>
      <c r="M53" s="1863"/>
      <c r="N53" s="1384"/>
      <c r="O53" s="1384"/>
      <c r="P53" s="1384"/>
      <c r="Q53" s="1384"/>
      <c r="R53" s="1863"/>
      <c r="S53" s="1384"/>
      <c r="T53" s="1384"/>
      <c r="U53" s="766"/>
      <c r="V53" s="1384"/>
      <c r="W53" s="1384"/>
      <c r="X53" s="1384"/>
      <c r="Y53" s="1384"/>
      <c r="Z53" s="1384"/>
      <c r="AA53" s="1859"/>
      <c r="AB53" s="788"/>
      <c r="AC53" s="788"/>
      <c r="AD53" s="788"/>
      <c r="AE53" s="788"/>
    </row>
    <row s="16671" customFormat="1" customHeight="1" ht="11.25">
      <c r="A54" s="1210"/>
      <c r="B54" s="1863"/>
      <c r="C54" s="1863"/>
      <c r="D54" s="573"/>
      <c r="K54" s="1384"/>
      <c r="L54" s="1863"/>
      <c r="M54" s="1863"/>
      <c r="N54" s="1384"/>
      <c r="O54" s="1384"/>
      <c r="P54" s="1384"/>
      <c r="Q54" s="1384"/>
      <c r="R54" s="1863"/>
      <c r="S54" s="1384"/>
      <c r="T54" s="1384"/>
      <c r="U54" s="766"/>
      <c r="V54" s="1384"/>
      <c r="W54" s="1384"/>
      <c r="X54" s="1384"/>
      <c r="Y54" s="1384"/>
      <c r="Z54" s="1384"/>
      <c r="AA54" s="1859"/>
      <c r="AB54" s="788"/>
      <c r="AC54" s="788"/>
      <c r="AD54" s="788"/>
      <c r="AE54" s="788"/>
    </row>
    <row s="16671" customFormat="1" customHeight="1" ht="11.25">
      <c r="A55" s="1210"/>
      <c r="B55" s="1863"/>
      <c r="C55" s="1863"/>
      <c r="D55" s="573"/>
      <c r="K55" s="1384"/>
      <c r="L55" s="1863"/>
      <c r="M55" s="1863"/>
      <c r="N55" s="1384"/>
      <c r="O55" s="1384"/>
      <c r="P55" s="1384"/>
      <c r="Q55" s="1384"/>
      <c r="R55" s="1863"/>
      <c r="S55" s="1384"/>
      <c r="T55" s="1384"/>
      <c r="U55" s="766"/>
      <c r="V55" s="1384"/>
      <c r="W55" s="1384"/>
      <c r="X55" s="1384"/>
      <c r="Y55" s="1384"/>
      <c r="Z55" s="1384"/>
      <c r="AA55" s="1859"/>
      <c r="AB55" s="788"/>
      <c r="AC55" s="788"/>
      <c r="AD55" s="788"/>
      <c r="AE55" s="788"/>
    </row>
    <row s="16671" customFormat="1" customHeight="1" ht="11.25">
      <c r="A56" s="1210"/>
      <c r="B56" s="1863"/>
      <c r="C56" s="1863"/>
      <c r="D56" s="573"/>
      <c r="K56" s="1384"/>
      <c r="L56" s="1863"/>
      <c r="M56" s="1863"/>
      <c r="N56" s="1384"/>
      <c r="O56" s="1384"/>
      <c r="P56" s="1384"/>
      <c r="Q56" s="1384"/>
      <c r="R56" s="1863"/>
      <c r="S56" s="1384"/>
      <c r="T56" s="1384"/>
      <c r="U56" s="766"/>
      <c r="V56" s="1384"/>
      <c r="W56" s="1384"/>
      <c r="X56" s="1384"/>
      <c r="Y56" s="1384"/>
      <c r="Z56" s="1384"/>
      <c r="AA56" s="1859"/>
      <c r="AB56" s="788"/>
      <c r="AC56" s="788"/>
      <c r="AD56" s="788"/>
      <c r="AE56" s="788"/>
    </row>
    <row s="16671" customFormat="1" customHeight="1" ht="11.25">
      <c r="A57" s="1210"/>
      <c r="B57" s="1863"/>
      <c r="C57" s="1863"/>
      <c r="D57" s="573"/>
      <c r="K57" s="1384"/>
      <c r="L57" s="1863"/>
      <c r="M57" s="1863"/>
      <c r="N57" s="1384"/>
      <c r="O57" s="1384"/>
      <c r="P57" s="1384"/>
      <c r="Q57" s="1384"/>
      <c r="R57" s="1863"/>
      <c r="S57" s="1384"/>
      <c r="T57" s="1384"/>
      <c r="U57" s="766"/>
      <c r="V57" s="1384"/>
      <c r="W57" s="1384"/>
      <c r="X57" s="1384"/>
      <c r="Y57" s="1384"/>
      <c r="Z57" s="1384"/>
      <c r="AA57" s="1859"/>
      <c r="AB57" s="788"/>
      <c r="AC57" s="788"/>
      <c r="AD57" s="788"/>
      <c r="AE57" s="788"/>
    </row>
    <row s="16671" customFormat="1" customHeight="1" ht="11.25">
      <c r="A58" s="1210"/>
      <c r="B58" s="1863"/>
      <c r="C58" s="1863"/>
      <c r="D58" s="573"/>
      <c r="K58" s="1384"/>
      <c r="L58" s="1863"/>
      <c r="M58" s="1863"/>
      <c r="N58" s="1384"/>
      <c r="O58" s="1384"/>
      <c r="P58" s="1384"/>
      <c r="Q58" s="1384"/>
      <c r="R58" s="1863"/>
      <c r="S58" s="1384"/>
      <c r="T58" s="1384"/>
      <c r="U58" s="766"/>
      <c r="V58" s="1384"/>
      <c r="W58" s="1384"/>
      <c r="X58" s="1384"/>
      <c r="Y58" s="1384"/>
      <c r="Z58" s="1384"/>
      <c r="AA58" s="1859"/>
      <c r="AB58" s="788"/>
      <c r="AC58" s="788"/>
      <c r="AD58" s="788"/>
      <c r="AE58" s="788"/>
    </row>
    <row s="16671" customFormat="1" customHeight="1" ht="11.25">
      <c r="A59" s="1210"/>
      <c r="B59" s="1863"/>
      <c r="C59" s="1863"/>
      <c r="D59" s="573"/>
      <c r="K59" s="1384"/>
      <c r="L59" s="1863"/>
      <c r="M59" s="1863"/>
      <c r="N59" s="1384"/>
      <c r="O59" s="1384"/>
      <c r="P59" s="1384"/>
      <c r="Q59" s="1384"/>
      <c r="R59" s="1863"/>
      <c r="S59" s="1384"/>
      <c r="T59" s="1384"/>
      <c r="U59" s="766"/>
      <c r="V59" s="1384"/>
      <c r="W59" s="1384"/>
      <c r="X59" s="1384"/>
      <c r="Y59" s="1384"/>
      <c r="Z59" s="1384"/>
      <c r="AA59" s="1859"/>
      <c r="AB59" s="788"/>
      <c r="AC59" s="788"/>
      <c r="AD59" s="788"/>
      <c r="AE59" s="788"/>
    </row>
    <row s="16671" customFormat="1" customHeight="1" ht="11.25">
      <c r="A60" s="1210"/>
      <c r="B60" s="1863"/>
      <c r="C60" s="1863"/>
      <c r="D60" s="573"/>
      <c r="K60" s="1384"/>
      <c r="L60" s="1863"/>
      <c r="M60" s="1863"/>
      <c r="N60" s="1384"/>
      <c r="O60" s="1384"/>
      <c r="P60" s="1384"/>
      <c r="Q60" s="1384"/>
      <c r="R60" s="1863"/>
      <c r="S60" s="1384"/>
      <c r="T60" s="1384"/>
      <c r="U60" s="766"/>
      <c r="V60" s="1384"/>
      <c r="W60" s="1384"/>
      <c r="X60" s="1384"/>
      <c r="Y60" s="1384"/>
      <c r="Z60" s="1384"/>
      <c r="AA60" s="1859"/>
      <c r="AB60" s="788"/>
      <c r="AC60" s="788"/>
      <c r="AD60" s="788"/>
      <c r="AE60" s="788"/>
    </row>
    <row s="16671" customFormat="1" customHeight="1" ht="11.25">
      <c r="A61" s="1210"/>
      <c r="B61" s="1863"/>
      <c r="C61" s="1863"/>
      <c r="D61" s="573"/>
      <c r="K61" s="1384"/>
      <c r="L61" s="1863"/>
      <c r="M61" s="1863"/>
      <c r="N61" s="1384"/>
      <c r="O61" s="1384"/>
      <c r="P61" s="1384"/>
      <c r="Q61" s="1384"/>
      <c r="R61" s="1863"/>
      <c r="S61" s="1384"/>
      <c r="T61" s="1384"/>
      <c r="U61" s="766"/>
      <c r="V61" s="1384"/>
      <c r="W61" s="1384"/>
      <c r="X61" s="1384"/>
      <c r="Y61" s="1384"/>
      <c r="Z61" s="1384"/>
      <c r="AA61" s="1859"/>
      <c r="AB61" s="788"/>
      <c r="AC61" s="788"/>
      <c r="AD61" s="788"/>
      <c r="AE61" s="788"/>
    </row>
    <row s="16671" customFormat="1" customHeight="1" ht="11.25">
      <c r="A62" s="1210"/>
      <c r="B62" s="1863"/>
      <c r="C62" s="1863"/>
      <c r="D62" s="573"/>
      <c r="K62" s="1384"/>
      <c r="L62" s="1863"/>
      <c r="M62" s="1863"/>
      <c r="N62" s="1384"/>
      <c r="O62" s="1384"/>
      <c r="P62" s="1384"/>
      <c r="Q62" s="1384"/>
      <c r="R62" s="1863"/>
      <c r="S62" s="1384"/>
      <c r="T62" s="1384"/>
      <c r="U62" s="766"/>
      <c r="V62" s="1384"/>
      <c r="W62" s="1384"/>
      <c r="X62" s="1384"/>
      <c r="Y62" s="1384"/>
      <c r="Z62" s="1384"/>
      <c r="AA62" s="1859"/>
      <c r="AB62" s="788"/>
      <c r="AC62" s="788"/>
      <c r="AD62" s="788"/>
      <c r="AE62" s="788"/>
    </row>
    <row s="16671" customFormat="1" customHeight="1" ht="11.25">
      <c r="A63" s="1210"/>
      <c r="B63" s="1863"/>
      <c r="C63" s="1863"/>
      <c r="D63" s="573"/>
      <c r="K63" s="1384"/>
      <c r="L63" s="1863"/>
      <c r="M63" s="1863"/>
      <c r="N63" s="1384"/>
      <c r="O63" s="1384"/>
      <c r="P63" s="1384"/>
      <c r="Q63" s="1384"/>
      <c r="R63" s="1863"/>
      <c r="S63" s="1384"/>
      <c r="T63" s="1384"/>
      <c r="U63" s="766"/>
      <c r="V63" s="1384"/>
      <c r="W63" s="1384"/>
      <c r="X63" s="1384"/>
      <c r="Y63" s="1384"/>
      <c r="Z63" s="1384"/>
      <c r="AA63" s="1859"/>
      <c r="AB63" s="788"/>
      <c r="AC63" s="788"/>
      <c r="AD63" s="788"/>
      <c r="AE63" s="788"/>
    </row>
    <row s="16671" customFormat="1" customHeight="1" ht="11.25">
      <c r="A64" s="1210"/>
      <c r="B64" s="1863"/>
      <c r="C64" s="1863"/>
      <c r="D64" s="573"/>
      <c r="K64" s="1384"/>
      <c r="L64" s="1863"/>
      <c r="M64" s="1863"/>
      <c r="N64" s="1384"/>
      <c r="O64" s="1384"/>
      <c r="P64" s="1384"/>
      <c r="Q64" s="1384"/>
      <c r="R64" s="1863"/>
      <c r="S64" s="1384"/>
      <c r="T64" s="1384"/>
      <c r="U64" s="766"/>
      <c r="V64" s="1384"/>
      <c r="W64" s="1384"/>
      <c r="X64" s="1384"/>
      <c r="Y64" s="1384"/>
      <c r="Z64" s="1384"/>
      <c r="AA64" s="1859"/>
      <c r="AB64" s="788"/>
      <c r="AC64" s="788"/>
      <c r="AD64" s="788"/>
      <c r="AE64" s="788"/>
    </row>
    <row s="16671" customFormat="1" customHeight="1" ht="11.25">
      <c r="A65" s="1210"/>
      <c r="B65" s="1863"/>
      <c r="C65" s="1863"/>
      <c r="D65" s="573"/>
      <c r="K65" s="1384"/>
      <c r="L65" s="1863"/>
      <c r="M65" s="1863"/>
      <c r="N65" s="1384"/>
      <c r="O65" s="1384"/>
      <c r="P65" s="1384"/>
      <c r="Q65" s="1384"/>
      <c r="R65" s="1863"/>
      <c r="S65" s="1384"/>
      <c r="T65" s="1384"/>
      <c r="U65" s="766"/>
      <c r="V65" s="1384"/>
      <c r="W65" s="1384"/>
      <c r="X65" s="1384"/>
      <c r="Y65" s="1384"/>
      <c r="Z65" s="1384"/>
      <c r="AA65" s="1859"/>
      <c r="AB65" s="788"/>
      <c r="AC65" s="788"/>
      <c r="AD65" s="788"/>
      <c r="AE65" s="788"/>
    </row>
    <row s="16671" customFormat="1" customHeight="1" ht="11.25">
      <c r="A66" s="1210"/>
      <c r="B66" s="1863"/>
      <c r="C66" s="1863"/>
      <c r="D66" s="573"/>
      <c r="K66" s="1384"/>
      <c r="L66" s="1863"/>
      <c r="M66" s="1863"/>
      <c r="N66" s="1384"/>
      <c r="O66" s="1384"/>
      <c r="P66" s="1384"/>
      <c r="Q66" s="1384"/>
      <c r="R66" s="1863"/>
      <c r="S66" s="1384"/>
      <c r="T66" s="1384"/>
      <c r="U66" s="766"/>
      <c r="V66" s="1384"/>
      <c r="W66" s="1384"/>
      <c r="X66" s="1384"/>
      <c r="Y66" s="1384"/>
      <c r="Z66" s="1384"/>
      <c r="AA66" s="1859"/>
      <c r="AB66" s="788"/>
      <c r="AC66" s="788"/>
      <c r="AD66" s="788"/>
      <c r="AE66" s="788"/>
    </row>
    <row s="16671" customFormat="1" customHeight="1" ht="11.25">
      <c r="A67" s="1210"/>
      <c r="B67" s="1863"/>
      <c r="C67" s="1863"/>
      <c r="D67" s="573"/>
      <c r="K67" s="1384"/>
      <c r="L67" s="1863"/>
      <c r="M67" s="1863"/>
      <c r="N67" s="1384"/>
      <c r="O67" s="1384"/>
      <c r="P67" s="1384"/>
      <c r="Q67" s="1384"/>
      <c r="R67" s="1863"/>
      <c r="S67" s="1384"/>
      <c r="T67" s="1384"/>
      <c r="U67" s="766"/>
      <c r="V67" s="1384"/>
      <c r="W67" s="1384"/>
      <c r="X67" s="1384"/>
      <c r="Y67" s="1384"/>
      <c r="Z67" s="1384"/>
      <c r="AA67" s="1859"/>
      <c r="AB67" s="788"/>
      <c r="AC67" s="788"/>
      <c r="AD67" s="788"/>
      <c r="AE67" s="788"/>
    </row>
    <row s="16671" customFormat="1" customHeight="1" ht="11.25">
      <c r="A68" s="1210"/>
      <c r="B68" s="1863"/>
      <c r="C68" s="1863"/>
      <c r="D68" s="573"/>
      <c r="K68" s="1384"/>
      <c r="L68" s="1863"/>
      <c r="M68" s="1863"/>
      <c r="N68" s="1384"/>
      <c r="O68" s="1384"/>
      <c r="P68" s="1384"/>
      <c r="Q68" s="1384"/>
      <c r="R68" s="1863"/>
      <c r="S68" s="1384"/>
      <c r="T68" s="1384"/>
      <c r="U68" s="766"/>
      <c r="V68" s="1384"/>
      <c r="W68" s="1384"/>
      <c r="X68" s="1384"/>
      <c r="Y68" s="1384"/>
      <c r="Z68" s="1384"/>
      <c r="AA68" s="1859"/>
      <c r="AB68" s="788"/>
      <c r="AC68" s="788"/>
      <c r="AD68" s="788"/>
      <c r="AE68" s="788"/>
    </row>
    <row s="16671" customFormat="1" customHeight="1" ht="11.25">
      <c r="A69" s="1210"/>
      <c r="B69" s="1863"/>
      <c r="C69" s="1863"/>
      <c r="D69" s="573"/>
      <c r="K69" s="1384"/>
      <c r="L69" s="1863"/>
      <c r="M69" s="1863"/>
      <c r="N69" s="1384"/>
      <c r="O69" s="1384"/>
      <c r="P69" s="1384"/>
      <c r="Q69" s="1384"/>
      <c r="R69" s="1863"/>
      <c r="S69" s="1384"/>
      <c r="T69" s="1384"/>
      <c r="U69" s="766"/>
      <c r="V69" s="1384"/>
      <c r="W69" s="1384"/>
      <c r="X69" s="1384"/>
      <c r="Y69" s="1384"/>
      <c r="Z69" s="1384"/>
      <c r="AA69" s="1859"/>
      <c r="AB69" s="788"/>
      <c r="AC69" s="788"/>
      <c r="AD69" s="788"/>
      <c r="AE69" s="788"/>
    </row>
    <row s="16671" customFormat="1" customHeight="1" ht="11.25">
      <c r="A70" s="1210"/>
      <c r="B70" s="1863"/>
      <c r="C70" s="1863"/>
      <c r="D70" s="573"/>
      <c r="K70" s="1384"/>
      <c r="L70" s="1863"/>
      <c r="M70" s="1863"/>
      <c r="N70" s="1384"/>
      <c r="O70" s="1384"/>
      <c r="P70" s="1384"/>
      <c r="Q70" s="1384"/>
      <c r="R70" s="1863"/>
      <c r="S70" s="1384"/>
      <c r="T70" s="1384"/>
      <c r="U70" s="766"/>
      <c r="V70" s="1384"/>
      <c r="W70" s="1384"/>
      <c r="X70" s="1384"/>
      <c r="Y70" s="1384"/>
      <c r="Z70" s="1384"/>
      <c r="AA70" s="1859"/>
      <c r="AB70" s="788"/>
      <c r="AC70" s="788"/>
      <c r="AD70" s="788"/>
      <c r="AE70" s="788"/>
    </row>
    <row s="16671" customFormat="1" customHeight="1" ht="11.25">
      <c r="A71" s="1210"/>
      <c r="B71" s="1863"/>
      <c r="C71" s="1863"/>
      <c r="D71" s="573"/>
      <c r="K71" s="1384"/>
      <c r="L71" s="1863"/>
      <c r="M71" s="1863"/>
      <c r="N71" s="1384"/>
      <c r="O71" s="1384"/>
      <c r="P71" s="1384"/>
      <c r="Q71" s="1384"/>
      <c r="R71" s="1863"/>
      <c r="S71" s="1384"/>
      <c r="T71" s="1384"/>
      <c r="U71" s="766"/>
      <c r="V71" s="1384"/>
      <c r="W71" s="1384"/>
      <c r="X71" s="1384"/>
      <c r="Y71" s="1384"/>
      <c r="Z71" s="1384"/>
      <c r="AA71" s="1859"/>
      <c r="AB71" s="788"/>
      <c r="AC71" s="788"/>
      <c r="AD71" s="788"/>
      <c r="AE71" s="788"/>
    </row>
    <row s="16671" customFormat="1" customHeight="1" ht="11.25">
      <c r="A72" s="1210"/>
      <c r="B72" s="1863"/>
      <c r="C72" s="1863"/>
      <c r="D72" s="573"/>
      <c r="K72" s="1384"/>
      <c r="L72" s="1863"/>
      <c r="M72" s="1863"/>
      <c r="N72" s="1384"/>
      <c r="O72" s="1384"/>
      <c r="P72" s="1384"/>
      <c r="Q72" s="1384"/>
      <c r="R72" s="1863"/>
      <c r="S72" s="1384"/>
      <c r="T72" s="1384"/>
      <c r="U72" s="766"/>
      <c r="V72" s="1384"/>
      <c r="W72" s="1384"/>
      <c r="X72" s="1384"/>
      <c r="Y72" s="1384"/>
      <c r="Z72" s="1384"/>
      <c r="AA72" s="1859"/>
      <c r="AB72" s="788"/>
      <c r="AC72" s="788"/>
      <c r="AD72" s="788"/>
      <c r="AE72" s="788"/>
    </row>
    <row s="16671" customFormat="1" customHeight="1" ht="11.25">
      <c r="A73" s="1210"/>
      <c r="B73" s="1863"/>
      <c r="C73" s="1863"/>
      <c r="D73" s="573"/>
      <c r="K73" s="1384"/>
      <c r="L73" s="1863"/>
      <c r="M73" s="1863"/>
      <c r="N73" s="1384"/>
      <c r="O73" s="1384"/>
      <c r="P73" s="1384"/>
      <c r="Q73" s="1384"/>
      <c r="R73" s="1863"/>
      <c r="S73" s="1384"/>
      <c r="T73" s="1384"/>
      <c r="U73" s="766"/>
      <c r="V73" s="1384"/>
      <c r="W73" s="1384"/>
      <c r="X73" s="1384"/>
      <c r="Y73" s="1384"/>
      <c r="Z73" s="1384"/>
      <c r="AA73" s="1859"/>
      <c r="AB73" s="788"/>
      <c r="AC73" s="788"/>
      <c r="AD73" s="788"/>
      <c r="AE73" s="788"/>
    </row>
    <row s="16671" customFormat="1" customHeight="1" ht="11.25">
      <c r="A74" s="1210"/>
      <c r="B74" s="1863"/>
      <c r="C74" s="1863"/>
      <c r="D74" s="573"/>
      <c r="K74" s="1384"/>
      <c r="L74" s="1863"/>
      <c r="M74" s="1863"/>
      <c r="N74" s="1384"/>
      <c r="O74" s="1384"/>
      <c r="P74" s="1384"/>
      <c r="Q74" s="1384"/>
      <c r="R74" s="1863"/>
      <c r="S74" s="1384"/>
      <c r="T74" s="1384"/>
      <c r="U74" s="766"/>
      <c r="V74" s="1384"/>
      <c r="W74" s="1384"/>
      <c r="X74" s="1384"/>
      <c r="Y74" s="1384"/>
      <c r="Z74" s="1384"/>
      <c r="AA74" s="1859"/>
      <c r="AB74" s="788"/>
      <c r="AC74" s="788"/>
      <c r="AD74" s="788"/>
      <c r="AE74" s="788"/>
    </row>
    <row s="16671" customFormat="1" customHeight="1" ht="11.25">
      <c r="A75" s="1210"/>
      <c r="B75" s="1863"/>
      <c r="C75" s="1863"/>
      <c r="D75" s="573"/>
      <c r="K75" s="1384"/>
      <c r="L75" s="1863"/>
      <c r="M75" s="1863"/>
      <c r="N75" s="1384"/>
      <c r="O75" s="1384"/>
      <c r="P75" s="1384"/>
      <c r="Q75" s="1384"/>
      <c r="R75" s="1863"/>
      <c r="S75" s="1384"/>
      <c r="T75" s="1384"/>
      <c r="U75" s="766"/>
      <c r="V75" s="1384"/>
      <c r="W75" s="1384"/>
      <c r="X75" s="1384"/>
      <c r="Y75" s="1384"/>
      <c r="Z75" s="1384"/>
      <c r="AA75" s="1859"/>
      <c r="AB75" s="788"/>
      <c r="AC75" s="788"/>
      <c r="AD75" s="788"/>
      <c r="AE75" s="788"/>
    </row>
    <row s="16671" customFormat="1" customHeight="1" ht="11.25">
      <c r="A76" s="1210"/>
      <c r="B76" s="1863"/>
      <c r="C76" s="1863"/>
      <c r="D76" s="573"/>
      <c r="K76" s="1384"/>
      <c r="L76" s="1863"/>
      <c r="M76" s="1863"/>
      <c r="N76" s="1384"/>
      <c r="O76" s="1384"/>
      <c r="P76" s="1384"/>
      <c r="Q76" s="1384"/>
      <c r="R76" s="1863"/>
      <c r="S76" s="1384"/>
      <c r="T76" s="1384"/>
      <c r="U76" s="766"/>
      <c r="V76" s="1384"/>
      <c r="W76" s="1384"/>
      <c r="X76" s="1384"/>
      <c r="Y76" s="1384"/>
      <c r="Z76" s="1384"/>
      <c r="AA76" s="1859"/>
      <c r="AB76" s="788"/>
      <c r="AC76" s="788"/>
      <c r="AD76" s="788"/>
      <c r="AE76" s="788"/>
    </row>
    <row s="16671" customFormat="1" customHeight="1" ht="11.25">
      <c r="A77" s="1210"/>
      <c r="B77" s="1863"/>
      <c r="C77" s="1863"/>
      <c r="D77" s="573"/>
      <c r="K77" s="1384"/>
      <c r="L77" s="1863"/>
      <c r="M77" s="1863"/>
      <c r="N77" s="1384"/>
      <c r="O77" s="1384"/>
      <c r="P77" s="1384"/>
      <c r="Q77" s="1384"/>
      <c r="R77" s="1863"/>
      <c r="S77" s="1384"/>
      <c r="T77" s="1384"/>
      <c r="U77" s="766"/>
      <c r="V77" s="1384"/>
      <c r="W77" s="1384"/>
      <c r="X77" s="1384"/>
      <c r="Y77" s="1384"/>
      <c r="Z77" s="1384"/>
      <c r="AA77" s="1859"/>
      <c r="AB77" s="788"/>
      <c r="AC77" s="788"/>
      <c r="AD77" s="788"/>
      <c r="AE77" s="788"/>
    </row>
    <row s="16671" customFormat="1" customHeight="1" ht="11.25">
      <c r="A78" s="1210"/>
      <c r="B78" s="1863"/>
      <c r="C78" s="1863"/>
      <c r="D78" s="573"/>
      <c r="K78" s="1384"/>
      <c r="L78" s="1863"/>
      <c r="M78" s="1863"/>
      <c r="N78" s="1384"/>
      <c r="O78" s="1384"/>
      <c r="P78" s="1384"/>
      <c r="Q78" s="1384"/>
      <c r="R78" s="1863"/>
      <c r="S78" s="1384"/>
      <c r="T78" s="1384"/>
      <c r="U78" s="766"/>
      <c r="V78" s="1384"/>
      <c r="W78" s="1384"/>
      <c r="X78" s="1384"/>
      <c r="Y78" s="1384"/>
      <c r="Z78" s="1384"/>
      <c r="AA78" s="1859"/>
      <c r="AB78" s="788"/>
      <c r="AC78" s="788"/>
      <c r="AD78" s="788"/>
      <c r="AE78" s="788"/>
    </row>
    <row s="16671" customFormat="1" customHeight="1" ht="11.25">
      <c r="A79" s="1210"/>
      <c r="B79" s="1863"/>
      <c r="C79" s="1863"/>
      <c r="D79" s="573"/>
      <c r="K79" s="1384"/>
      <c r="L79" s="1863"/>
      <c r="M79" s="1863"/>
      <c r="N79" s="1384"/>
      <c r="O79" s="1384"/>
      <c r="P79" s="1384"/>
      <c r="Q79" s="1384"/>
      <c r="R79" s="1863"/>
      <c r="S79" s="1384"/>
      <c r="T79" s="1384"/>
      <c r="U79" s="766"/>
      <c r="V79" s="1384"/>
      <c r="W79" s="1384"/>
      <c r="X79" s="1384"/>
      <c r="Y79" s="1384"/>
      <c r="Z79" s="1384"/>
      <c r="AA79" s="1859"/>
      <c r="AB79" s="788"/>
      <c r="AC79" s="788"/>
      <c r="AD79" s="788"/>
      <c r="AE79" s="788"/>
    </row>
    <row s="16671" customFormat="1" customHeight="1" ht="11.25">
      <c r="A80" s="1210"/>
      <c r="B80" s="1863"/>
      <c r="C80" s="1863"/>
      <c r="D80" s="573"/>
      <c r="K80" s="1384"/>
      <c r="L80" s="1863"/>
      <c r="M80" s="1863"/>
      <c r="N80" s="1384"/>
      <c r="O80" s="1384"/>
      <c r="P80" s="1384"/>
      <c r="Q80" s="1384"/>
      <c r="R80" s="1863"/>
      <c r="S80" s="1384"/>
      <c r="T80" s="1384"/>
      <c r="U80" s="766"/>
      <c r="V80" s="1384"/>
      <c r="W80" s="1384"/>
      <c r="X80" s="1384"/>
      <c r="Y80" s="1384"/>
      <c r="Z80" s="1384"/>
      <c r="AA80" s="1859"/>
      <c r="AB80" s="788"/>
      <c r="AC80" s="788"/>
      <c r="AD80" s="788"/>
      <c r="AE80" s="788"/>
    </row>
    <row s="16671" customFormat="1" customHeight="1" ht="11.25">
      <c r="A81" s="1210"/>
      <c r="B81" s="1863"/>
      <c r="C81" s="1863"/>
      <c r="D81" s="573"/>
      <c r="K81" s="1384"/>
      <c r="L81" s="1863"/>
      <c r="M81" s="1863"/>
      <c r="N81" s="1384"/>
      <c r="O81" s="1384"/>
      <c r="P81" s="1384"/>
      <c r="Q81" s="1384"/>
      <c r="R81" s="1863"/>
      <c r="S81" s="1384"/>
      <c r="T81" s="1384"/>
      <c r="U81" s="766"/>
      <c r="V81" s="1384"/>
      <c r="W81" s="1384"/>
      <c r="X81" s="1384"/>
      <c r="Y81" s="1384"/>
      <c r="Z81" s="1384"/>
      <c r="AA81" s="1859"/>
      <c r="AB81" s="788"/>
      <c r="AC81" s="788"/>
      <c r="AD81" s="788"/>
      <c r="AE81" s="788"/>
    </row>
    <row s="16671" customFormat="1" customHeight="1" ht="11.25">
      <c r="A82" s="1210"/>
      <c r="B82" s="1863"/>
      <c r="C82" s="1863"/>
      <c r="D82" s="573"/>
      <c r="K82" s="1384"/>
      <c r="L82" s="1863"/>
      <c r="M82" s="1863"/>
      <c r="N82" s="1384"/>
      <c r="O82" s="1384"/>
      <c r="P82" s="1384"/>
      <c r="Q82" s="1384"/>
      <c r="R82" s="1863"/>
      <c r="S82" s="1384"/>
      <c r="T82" s="1384"/>
      <c r="U82" s="766"/>
      <c r="V82" s="1384"/>
      <c r="W82" s="1384"/>
      <c r="X82" s="1384"/>
      <c r="Y82" s="1384"/>
      <c r="Z82" s="1384"/>
      <c r="AA82" s="1859"/>
      <c r="AB82" s="788"/>
      <c r="AC82" s="788"/>
      <c r="AD82" s="788"/>
      <c r="AE82" s="788"/>
    </row>
    <row s="16671" customFormat="1" customHeight="1" ht="11.25">
      <c r="A83" s="1210"/>
      <c r="B83" s="1863"/>
      <c r="C83" s="1863"/>
      <c r="D83" s="573"/>
      <c r="K83" s="1384"/>
      <c r="L83" s="1863"/>
      <c r="M83" s="1863"/>
      <c r="N83" s="1384"/>
      <c r="O83" s="1384"/>
      <c r="P83" s="1384"/>
      <c r="Q83" s="1384"/>
      <c r="R83" s="1863"/>
      <c r="S83" s="1384"/>
      <c r="T83" s="1384"/>
      <c r="U83" s="766"/>
      <c r="V83" s="1384"/>
      <c r="W83" s="1384"/>
      <c r="X83" s="1384"/>
      <c r="Y83" s="1384"/>
      <c r="Z83" s="1384"/>
      <c r="AA83" s="1859"/>
      <c r="AB83" s="788"/>
      <c r="AC83" s="788"/>
      <c r="AD83" s="788"/>
      <c r="AE83" s="788"/>
    </row>
    <row s="16671" customFormat="1" customHeight="1" ht="11.25">
      <c r="A84" s="1210"/>
      <c r="B84" s="1863"/>
      <c r="C84" s="1863"/>
      <c r="D84" s="573"/>
      <c r="K84" s="1384"/>
      <c r="L84" s="1863"/>
      <c r="M84" s="1863"/>
      <c r="N84" s="1384"/>
      <c r="O84" s="1384"/>
      <c r="P84" s="1384"/>
      <c r="Q84" s="1384"/>
      <c r="R84" s="1863"/>
      <c r="S84" s="1384"/>
      <c r="T84" s="1384"/>
      <c r="U84" s="766"/>
      <c r="V84" s="1384"/>
      <c r="W84" s="1384"/>
      <c r="X84" s="1384"/>
      <c r="Y84" s="1384"/>
      <c r="Z84" s="1384"/>
      <c r="AA84" s="1859"/>
      <c r="AB84" s="788"/>
      <c r="AC84" s="788"/>
      <c r="AD84" s="788"/>
      <c r="AE84" s="788"/>
    </row>
    <row s="16671" customFormat="1" customHeight="1" ht="11.25">
      <c r="A85" s="1210"/>
      <c r="B85" s="1863"/>
      <c r="C85" s="1863"/>
      <c r="D85" s="573"/>
      <c r="K85" s="1384"/>
      <c r="L85" s="1863"/>
      <c r="M85" s="1863"/>
      <c r="N85" s="1384"/>
      <c r="O85" s="1384"/>
      <c r="P85" s="1384"/>
      <c r="Q85" s="1384"/>
      <c r="R85" s="1863"/>
      <c r="S85" s="1384"/>
      <c r="T85" s="1384"/>
      <c r="U85" s="766"/>
      <c r="V85" s="1384"/>
      <c r="W85" s="1384"/>
      <c r="X85" s="1384"/>
      <c r="Y85" s="1384"/>
      <c r="Z85" s="1384"/>
      <c r="AA85" s="1859"/>
      <c r="AB85" s="788"/>
      <c r="AC85" s="788"/>
      <c r="AD85" s="788"/>
      <c r="AE85" s="788"/>
    </row>
    <row s="16671" customFormat="1" customHeight="1" ht="11.25">
      <c r="A86" s="1210"/>
      <c r="B86" s="1863"/>
      <c r="C86" s="1863"/>
      <c r="D86" s="573"/>
      <c r="K86" s="1384"/>
      <c r="L86" s="1863"/>
      <c r="M86" s="1863"/>
      <c r="N86" s="1384"/>
      <c r="O86" s="1384"/>
      <c r="P86" s="1384"/>
      <c r="Q86" s="1384"/>
      <c r="R86" s="1863"/>
      <c r="S86" s="1384"/>
      <c r="T86" s="1384"/>
      <c r="U86" s="766"/>
      <c r="V86" s="1384"/>
      <c r="W86" s="1384"/>
      <c r="X86" s="1384"/>
      <c r="Y86" s="1384"/>
      <c r="Z86" s="1384"/>
      <c r="AA86" s="1859"/>
      <c r="AB86" s="788"/>
      <c r="AC86" s="788"/>
      <c r="AD86" s="788"/>
      <c r="AE86" s="788"/>
    </row>
    <row s="16671" customFormat="1" customHeight="1" ht="11.25">
      <c r="A87" s="1210"/>
      <c r="B87" s="1863"/>
      <c r="C87" s="1863"/>
      <c r="D87" s="573"/>
      <c r="K87" s="1384"/>
      <c r="L87" s="1863"/>
      <c r="M87" s="1863"/>
      <c r="N87" s="1384"/>
      <c r="O87" s="1384"/>
      <c r="P87" s="1384"/>
      <c r="Q87" s="1384"/>
      <c r="R87" s="1863"/>
      <c r="S87" s="1384"/>
      <c r="T87" s="1384"/>
      <c r="U87" s="766"/>
      <c r="V87" s="1384"/>
      <c r="W87" s="1384"/>
      <c r="X87" s="1384"/>
      <c r="Y87" s="1384"/>
      <c r="Z87" s="1384"/>
      <c r="AA87" s="1859"/>
      <c r="AB87" s="788"/>
      <c r="AC87" s="788"/>
      <c r="AD87" s="788"/>
      <c r="AE87" s="788"/>
    </row>
    <row s="16671" customFormat="1" customHeight="1" ht="11.25">
      <c r="A88" s="1210"/>
      <c r="B88" s="1863"/>
      <c r="C88" s="1863"/>
      <c r="D88" s="573"/>
      <c r="K88" s="1384"/>
      <c r="L88" s="1863"/>
      <c r="M88" s="1863"/>
      <c r="N88" s="1384"/>
      <c r="O88" s="1384"/>
      <c r="P88" s="1384"/>
      <c r="Q88" s="1384"/>
      <c r="R88" s="1863"/>
      <c r="S88" s="1384"/>
      <c r="T88" s="1384"/>
      <c r="U88" s="766"/>
      <c r="V88" s="1384"/>
      <c r="W88" s="1384"/>
      <c r="X88" s="1384"/>
      <c r="Y88" s="1384"/>
      <c r="Z88" s="1384"/>
      <c r="AA88" s="1859"/>
      <c r="AB88" s="788"/>
      <c r="AC88" s="788"/>
      <c r="AD88" s="788"/>
      <c r="AE88" s="788"/>
    </row>
    <row s="16671" customFormat="1" customHeight="1" ht="11.25">
      <c r="A89" s="1210"/>
      <c r="B89" s="1863"/>
      <c r="C89" s="1863"/>
      <c r="D89" s="573"/>
      <c r="K89" s="1384"/>
      <c r="L89" s="1863"/>
      <c r="M89" s="1863"/>
      <c r="N89" s="1384"/>
      <c r="O89" s="1384"/>
      <c r="P89" s="1384"/>
      <c r="Q89" s="1384"/>
      <c r="R89" s="1863"/>
      <c r="S89" s="1384"/>
      <c r="T89" s="1384"/>
      <c r="U89" s="766"/>
      <c r="V89" s="1384"/>
      <c r="W89" s="1384"/>
      <c r="X89" s="1384"/>
      <c r="Y89" s="1384"/>
      <c r="Z89" s="1384"/>
      <c r="AA89" s="1859"/>
      <c r="AB89" s="788"/>
      <c r="AC89" s="788"/>
      <c r="AD89" s="788"/>
      <c r="AE89" s="788"/>
    </row>
    <row s="16671" customFormat="1" customHeight="1" ht="11.25">
      <c r="A90" s="1210"/>
      <c r="B90" s="1863"/>
      <c r="C90" s="1863"/>
      <c r="D90" s="573"/>
      <c r="K90" s="1384"/>
      <c r="L90" s="1863"/>
      <c r="M90" s="1863"/>
      <c r="N90" s="1384"/>
      <c r="O90" s="1384"/>
      <c r="P90" s="1384"/>
      <c r="Q90" s="1384"/>
      <c r="R90" s="1863"/>
      <c r="S90" s="1384"/>
      <c r="T90" s="1384"/>
      <c r="U90" s="766"/>
      <c r="V90" s="1384"/>
      <c r="W90" s="1384"/>
      <c r="X90" s="1384"/>
      <c r="Y90" s="1384"/>
      <c r="Z90" s="1384"/>
      <c r="AA90" s="1859"/>
      <c r="AB90" s="788"/>
      <c r="AC90" s="788"/>
      <c r="AD90" s="788"/>
      <c r="AE90" s="788"/>
    </row>
    <row s="16671" customFormat="1" customHeight="1" ht="11.25">
      <c r="A91" s="1210"/>
      <c r="B91" s="1863"/>
      <c r="C91" s="1863"/>
      <c r="D91" s="573"/>
      <c r="K91" s="1384"/>
      <c r="L91" s="1863"/>
      <c r="M91" s="1863"/>
      <c r="N91" s="1384"/>
      <c r="O91" s="1384"/>
      <c r="P91" s="1384"/>
      <c r="Q91" s="1384"/>
      <c r="R91" s="1863"/>
      <c r="S91" s="1384"/>
      <c r="T91" s="1384"/>
      <c r="U91" s="766"/>
      <c r="V91" s="1384"/>
      <c r="W91" s="1384"/>
      <c r="X91" s="1384"/>
      <c r="Y91" s="1384"/>
      <c r="Z91" s="1384"/>
      <c r="AA91" s="1859"/>
      <c r="AB91" s="788"/>
      <c r="AC91" s="788"/>
      <c r="AD91" s="788"/>
      <c r="AE91" s="788"/>
    </row>
    <row s="16671" customFormat="1" customHeight="1" ht="11.25">
      <c r="A92" s="1210"/>
      <c r="B92" s="1863"/>
      <c r="C92" s="1863"/>
      <c r="D92" s="573"/>
      <c r="K92" s="1384"/>
      <c r="L92" s="1863"/>
      <c r="M92" s="1863"/>
      <c r="N92" s="1384"/>
      <c r="O92" s="1384"/>
      <c r="P92" s="1384"/>
      <c r="Q92" s="1384"/>
      <c r="R92" s="1863"/>
      <c r="S92" s="1384"/>
      <c r="T92" s="1384"/>
      <c r="U92" s="766"/>
      <c r="V92" s="1384"/>
      <c r="W92" s="1384"/>
      <c r="X92" s="1384"/>
      <c r="Y92" s="1384"/>
      <c r="Z92" s="1384"/>
      <c r="AA92" s="1859"/>
      <c r="AB92" s="788"/>
      <c r="AC92" s="788"/>
      <c r="AD92" s="788"/>
      <c r="AE92" s="788"/>
    </row>
    <row s="16671" customFormat="1" customHeight="1" ht="11.25">
      <c r="A93" s="1210"/>
      <c r="B93" s="1863"/>
      <c r="C93" s="1863"/>
      <c r="D93" s="573"/>
      <c r="K93" s="1384"/>
      <c r="L93" s="1863"/>
      <c r="M93" s="1863"/>
      <c r="N93" s="1384"/>
      <c r="O93" s="1384"/>
      <c r="P93" s="1384"/>
      <c r="Q93" s="1384"/>
      <c r="R93" s="1863"/>
      <c r="S93" s="1384"/>
      <c r="T93" s="1384"/>
      <c r="U93" s="766"/>
      <c r="V93" s="1384"/>
      <c r="W93" s="1384"/>
      <c r="X93" s="1384"/>
      <c r="Y93" s="1384"/>
      <c r="Z93" s="1384"/>
      <c r="AA93" s="1859"/>
      <c r="AB93" s="788"/>
      <c r="AC93" s="788"/>
      <c r="AD93" s="788"/>
      <c r="AE93" s="788"/>
    </row>
    <row s="16671" customFormat="1" customHeight="1" ht="11.25">
      <c r="A94" s="1210"/>
      <c r="B94" s="1863"/>
      <c r="C94" s="1863"/>
      <c r="D94" s="573"/>
      <c r="K94" s="1384"/>
      <c r="L94" s="1863"/>
      <c r="M94" s="1863"/>
      <c r="N94" s="1384"/>
      <c r="O94" s="1384"/>
      <c r="P94" s="1384"/>
      <c r="Q94" s="1384"/>
      <c r="R94" s="1863"/>
      <c r="S94" s="1384"/>
      <c r="T94" s="1384"/>
      <c r="U94" s="766"/>
      <c r="V94" s="1384"/>
      <c r="W94" s="1384"/>
      <c r="X94" s="1384"/>
      <c r="Y94" s="1384"/>
      <c r="Z94" s="1384"/>
      <c r="AA94" s="1859"/>
      <c r="AB94" s="788"/>
      <c r="AC94" s="788"/>
      <c r="AD94" s="788"/>
      <c r="AE94" s="788"/>
    </row>
    <row s="16671" customFormat="1" customHeight="1" ht="11.25">
      <c r="A95" s="1210"/>
      <c r="B95" s="1863"/>
      <c r="C95" s="1863"/>
      <c r="D95" s="573"/>
      <c r="K95" s="1384"/>
      <c r="L95" s="1863"/>
      <c r="M95" s="1863"/>
      <c r="N95" s="1384"/>
      <c r="O95" s="1384"/>
      <c r="P95" s="1384"/>
      <c r="Q95" s="1384"/>
      <c r="R95" s="1863"/>
      <c r="S95" s="1384"/>
      <c r="T95" s="1384"/>
      <c r="U95" s="766"/>
      <c r="V95" s="1384"/>
      <c r="W95" s="1384"/>
      <c r="X95" s="1384"/>
      <c r="Y95" s="1384"/>
      <c r="Z95" s="1384"/>
      <c r="AA95" s="1859"/>
      <c r="AB95" s="788"/>
      <c r="AC95" s="788"/>
      <c r="AD95" s="788"/>
      <c r="AE95" s="788"/>
    </row>
    <row s="16671" customFormat="1" customHeight="1" ht="11.25">
      <c r="A96" s="1210"/>
      <c r="B96" s="1863"/>
      <c r="C96" s="1863"/>
      <c r="D96" s="573"/>
      <c r="K96" s="1384"/>
      <c r="L96" s="1863"/>
      <c r="M96" s="1863"/>
      <c r="N96" s="1384"/>
      <c r="O96" s="1384"/>
      <c r="P96" s="1384"/>
      <c r="Q96" s="1384"/>
      <c r="R96" s="1863"/>
      <c r="S96" s="1384"/>
      <c r="T96" s="1384"/>
      <c r="U96" s="766"/>
      <c r="V96" s="1384"/>
      <c r="W96" s="1384"/>
      <c r="X96" s="1384"/>
      <c r="Y96" s="1384"/>
      <c r="Z96" s="1384"/>
      <c r="AA96" s="1859"/>
      <c r="AB96" s="788"/>
      <c r="AC96" s="788"/>
      <c r="AD96" s="788"/>
      <c r="AE96" s="788"/>
    </row>
    <row s="16671" customFormat="1" customHeight="1" ht="11.25">
      <c r="A97" s="1210"/>
      <c r="B97" s="1863"/>
      <c r="C97" s="1863"/>
      <c r="D97" s="573"/>
      <c r="K97" s="1384"/>
      <c r="L97" s="1863"/>
      <c r="M97" s="1863"/>
      <c r="N97" s="1384"/>
      <c r="O97" s="1384"/>
      <c r="P97" s="1384"/>
      <c r="Q97" s="1384"/>
      <c r="R97" s="1863"/>
      <c r="S97" s="1384"/>
      <c r="T97" s="1384"/>
      <c r="U97" s="766"/>
      <c r="V97" s="1384"/>
      <c r="W97" s="1384"/>
      <c r="X97" s="1384"/>
      <c r="Y97" s="1384"/>
      <c r="Z97" s="1384"/>
      <c r="AA97" s="1859"/>
      <c r="AB97" s="788"/>
      <c r="AC97" s="788"/>
      <c r="AD97" s="788"/>
      <c r="AE97" s="788"/>
    </row>
    <row s="16671" customFormat="1" customHeight="1" ht="11.25">
      <c r="A98" s="1210"/>
      <c r="B98" s="1863"/>
      <c r="C98" s="1863"/>
      <c r="D98" s="573"/>
      <c r="K98" s="1384"/>
      <c r="L98" s="1863"/>
      <c r="M98" s="1863"/>
      <c r="N98" s="1384"/>
      <c r="O98" s="1384"/>
      <c r="P98" s="1384"/>
      <c r="Q98" s="1384"/>
      <c r="R98" s="1863"/>
      <c r="S98" s="1384"/>
      <c r="T98" s="1384"/>
      <c r="U98" s="766"/>
      <c r="V98" s="1384"/>
      <c r="W98" s="1384"/>
      <c r="X98" s="1384"/>
      <c r="Y98" s="1384"/>
      <c r="Z98" s="1384"/>
      <c r="AA98" s="1859"/>
      <c r="AB98" s="788"/>
      <c r="AC98" s="788"/>
      <c r="AD98" s="788"/>
      <c r="AE98" s="788"/>
    </row>
    <row s="16671" customFormat="1" customHeight="1" ht="11.25">
      <c r="A99" s="1210"/>
      <c r="B99" s="1863"/>
      <c r="C99" s="1863"/>
      <c r="D99" s="573"/>
      <c r="K99" s="1384"/>
      <c r="L99" s="1863"/>
      <c r="M99" s="1863"/>
      <c r="N99" s="1384"/>
      <c r="O99" s="1384"/>
      <c r="P99" s="1384"/>
      <c r="Q99" s="1384"/>
      <c r="R99" s="1863"/>
      <c r="S99" s="1384"/>
      <c r="T99" s="1384"/>
      <c r="U99" s="766"/>
      <c r="V99" s="1384"/>
      <c r="W99" s="1384"/>
      <c r="X99" s="1384"/>
      <c r="Y99" s="1384"/>
      <c r="Z99" s="1384"/>
      <c r="AA99" s="1859"/>
      <c r="AB99" s="788"/>
      <c r="AC99" s="788"/>
      <c r="AD99" s="788"/>
      <c r="AE99" s="788"/>
    </row>
    <row s="16671" customFormat="1" customHeight="1" ht="11.25">
      <c r="A100" s="1210"/>
      <c r="B100" s="1863"/>
      <c r="C100" s="1863"/>
      <c r="D100" s="573"/>
      <c r="K100" s="1384"/>
      <c r="L100" s="1863"/>
      <c r="M100" s="1863"/>
      <c r="N100" s="1384"/>
      <c r="O100" s="1384"/>
      <c r="P100" s="1384"/>
      <c r="Q100" s="1384"/>
      <c r="R100" s="1863"/>
      <c r="S100" s="1384"/>
      <c r="T100" s="1384"/>
      <c r="U100" s="766"/>
      <c r="V100" s="1384"/>
      <c r="W100" s="1384"/>
      <c r="X100" s="1384"/>
      <c r="Y100" s="1384"/>
      <c r="Z100" s="1384"/>
      <c r="AA100" s="1859"/>
      <c r="AB100" s="788"/>
      <c r="AC100" s="788"/>
      <c r="AD100" s="788"/>
      <c r="AE100" s="788"/>
    </row>
    <row s="16671" customFormat="1" customHeight="1" ht="11.25">
      <c r="A101" s="1210"/>
      <c r="B101" s="1863"/>
      <c r="C101" s="1863"/>
      <c r="D101" s="573"/>
      <c r="K101" s="1384"/>
      <c r="L101" s="1863"/>
      <c r="M101" s="1863"/>
      <c r="N101" s="1384"/>
      <c r="O101" s="1384"/>
      <c r="P101" s="1384"/>
      <c r="Q101" s="1384"/>
      <c r="R101" s="1863"/>
      <c r="S101" s="1384"/>
      <c r="T101" s="1384"/>
      <c r="U101" s="766"/>
      <c r="V101" s="1384"/>
      <c r="W101" s="1384"/>
      <c r="X101" s="1384"/>
      <c r="Y101" s="1384"/>
      <c r="Z101" s="1384"/>
      <c r="AA101" s="1859"/>
      <c r="AB101" s="788"/>
      <c r="AC101" s="788"/>
      <c r="AD101" s="788"/>
      <c r="AE101" s="788"/>
    </row>
    <row s="16671" customFormat="1" customHeight="1" ht="11.25">
      <c r="A102" s="1210"/>
      <c r="B102" s="1863"/>
      <c r="C102" s="1863"/>
      <c r="D102" s="573"/>
      <c r="K102" s="1384"/>
      <c r="L102" s="1863"/>
      <c r="M102" s="1863"/>
      <c r="N102" s="1384"/>
      <c r="O102" s="1384"/>
      <c r="P102" s="1384"/>
      <c r="Q102" s="1384"/>
      <c r="R102" s="1863"/>
      <c r="S102" s="1384"/>
      <c r="T102" s="1384"/>
      <c r="U102" s="766"/>
      <c r="V102" s="1384"/>
      <c r="W102" s="1384"/>
      <c r="X102" s="1384"/>
      <c r="Y102" s="1384"/>
      <c r="Z102" s="1384"/>
      <c r="AA102" s="1859"/>
      <c r="AB102" s="788"/>
      <c r="AC102" s="788"/>
      <c r="AD102" s="788"/>
      <c r="AE102" s="788"/>
    </row>
    <row s="16671" customFormat="1" customHeight="1" ht="11.25">
      <c r="A103" s="1210"/>
      <c r="B103" s="1863"/>
      <c r="C103" s="1863"/>
      <c r="D103" s="573"/>
      <c r="K103" s="1384"/>
      <c r="L103" s="1863"/>
      <c r="M103" s="1863"/>
      <c r="N103" s="1384"/>
      <c r="O103" s="1384"/>
      <c r="P103" s="1384"/>
      <c r="Q103" s="1384"/>
      <c r="R103" s="1863"/>
      <c r="S103" s="1384"/>
      <c r="T103" s="1384"/>
      <c r="U103" s="766"/>
      <c r="V103" s="1384"/>
      <c r="W103" s="1384"/>
      <c r="X103" s="1384"/>
      <c r="Y103" s="1384"/>
      <c r="Z103" s="1384"/>
      <c r="AA103" s="1859"/>
      <c r="AB103" s="788"/>
      <c r="AC103" s="788"/>
      <c r="AD103" s="788"/>
      <c r="AE103" s="788"/>
    </row>
    <row s="16671" customFormat="1" customHeight="1" ht="11.25">
      <c r="A104" s="1210"/>
      <c r="B104" s="1863"/>
      <c r="C104" s="1863"/>
      <c r="D104" s="573"/>
      <c r="K104" s="1384"/>
      <c r="L104" s="1863"/>
      <c r="M104" s="1863"/>
      <c r="N104" s="1384"/>
      <c r="O104" s="1384"/>
      <c r="P104" s="1384"/>
      <c r="Q104" s="1384"/>
      <c r="R104" s="1863"/>
      <c r="S104" s="1384"/>
      <c r="T104" s="1384"/>
      <c r="U104" s="766"/>
      <c r="V104" s="1384"/>
      <c r="W104" s="1384"/>
      <c r="X104" s="1384"/>
      <c r="Y104" s="1384"/>
      <c r="Z104" s="1384"/>
      <c r="AA104" s="1859"/>
      <c r="AB104" s="788"/>
      <c r="AC104" s="788"/>
      <c r="AD104" s="788"/>
      <c r="AE104" s="788"/>
    </row>
    <row s="16671" customFormat="1" customHeight="1" ht="11.25">
      <c r="A105" s="1210"/>
      <c r="B105" s="1863"/>
      <c r="C105" s="1863"/>
      <c r="D105" s="573"/>
      <c r="K105" s="1384"/>
      <c r="L105" s="1863"/>
      <c r="M105" s="1863"/>
      <c r="N105" s="1384"/>
      <c r="O105" s="1384"/>
      <c r="P105" s="1384"/>
      <c r="Q105" s="1384"/>
      <c r="R105" s="1863"/>
      <c r="S105" s="1384"/>
      <c r="T105" s="1384"/>
      <c r="U105" s="766"/>
      <c r="V105" s="1384"/>
      <c r="W105" s="1384"/>
      <c r="X105" s="1384"/>
      <c r="Y105" s="1384"/>
      <c r="Z105" s="1384"/>
      <c r="AA105" s="1859"/>
      <c r="AB105" s="788"/>
      <c r="AC105" s="788"/>
      <c r="AD105" s="788"/>
      <c r="AE105" s="788"/>
    </row>
    <row s="16671" customFormat="1" customHeight="1" ht="11.25">
      <c r="A106" s="1210"/>
      <c r="B106" s="1863"/>
      <c r="C106" s="1863"/>
      <c r="D106" s="573"/>
      <c r="K106" s="1384"/>
      <c r="L106" s="1863"/>
      <c r="M106" s="1863"/>
      <c r="N106" s="1384"/>
      <c r="O106" s="1384"/>
      <c r="P106" s="1384"/>
      <c r="Q106" s="1384"/>
      <c r="R106" s="1863"/>
      <c r="S106" s="1384"/>
      <c r="T106" s="1384"/>
      <c r="U106" s="766"/>
      <c r="V106" s="1384"/>
      <c r="W106" s="1384"/>
      <c r="X106" s="1384"/>
      <c r="Y106" s="1384"/>
      <c r="Z106" s="1384"/>
      <c r="AA106" s="1859"/>
      <c r="AB106" s="788"/>
      <c r="AC106" s="788"/>
      <c r="AD106" s="788"/>
      <c r="AE106" s="788"/>
    </row>
    <row s="16671" customFormat="1" customHeight="1" ht="11.25">
      <c r="A107" s="1210"/>
      <c r="B107" s="1863"/>
      <c r="C107" s="1863"/>
      <c r="D107" s="573"/>
      <c r="K107" s="1384"/>
      <c r="L107" s="1863"/>
      <c r="M107" s="1863"/>
      <c r="N107" s="1384"/>
      <c r="O107" s="1384"/>
      <c r="P107" s="1384"/>
      <c r="Q107" s="1384"/>
      <c r="R107" s="1863"/>
      <c r="S107" s="1384"/>
      <c r="T107" s="1384"/>
      <c r="U107" s="766"/>
      <c r="V107" s="1384"/>
      <c r="W107" s="1384"/>
      <c r="X107" s="1384"/>
      <c r="Y107" s="1384"/>
      <c r="Z107" s="1384"/>
      <c r="AA107" s="1859"/>
      <c r="AB107" s="788"/>
      <c r="AC107" s="788"/>
      <c r="AD107" s="788"/>
      <c r="AE107" s="788"/>
    </row>
    <row s="16671" customFormat="1" customHeight="1" ht="11.25">
      <c r="A108" s="1210"/>
      <c r="B108" s="1863"/>
      <c r="C108" s="1863"/>
      <c r="D108" s="573"/>
      <c r="K108" s="1384"/>
      <c r="L108" s="1863"/>
      <c r="M108" s="1863"/>
      <c r="N108" s="1384"/>
      <c r="O108" s="1384"/>
      <c r="P108" s="1384"/>
      <c r="Q108" s="1384"/>
      <c r="R108" s="1863"/>
      <c r="S108" s="1384"/>
      <c r="T108" s="1384"/>
      <c r="U108" s="766"/>
      <c r="V108" s="1384"/>
      <c r="W108" s="1384"/>
      <c r="X108" s="1384"/>
      <c r="Y108" s="1384"/>
      <c r="Z108" s="1384"/>
      <c r="AA108" s="1859"/>
      <c r="AB108" s="788"/>
      <c r="AC108" s="788"/>
      <c r="AD108" s="788"/>
      <c r="AE108" s="788"/>
    </row>
    <row s="16671" customFormat="1" customHeight="1" ht="11.25">
      <c r="A109" s="1210"/>
      <c r="B109" s="1863"/>
      <c r="C109" s="1863"/>
      <c r="D109" s="573"/>
      <c r="K109" s="1384"/>
      <c r="L109" s="1863"/>
      <c r="M109" s="1863"/>
      <c r="N109" s="1384"/>
      <c r="O109" s="1384"/>
      <c r="P109" s="1384"/>
      <c r="Q109" s="1384"/>
      <c r="R109" s="1863"/>
      <c r="S109" s="1384"/>
      <c r="T109" s="1384"/>
      <c r="U109" s="766"/>
      <c r="V109" s="1384"/>
      <c r="W109" s="1384"/>
      <c r="X109" s="1384"/>
      <c r="Y109" s="1384"/>
      <c r="Z109" s="1384"/>
      <c r="AA109" s="1859"/>
      <c r="AB109" s="788"/>
      <c r="AC109" s="788"/>
      <c r="AD109" s="788"/>
      <c r="AE109" s="788"/>
    </row>
    <row s="16671" customFormat="1" customHeight="1" ht="11.25">
      <c r="A110" s="1210"/>
      <c r="B110" s="1863"/>
      <c r="C110" s="1863"/>
      <c r="D110" s="573"/>
      <c r="K110" s="1384"/>
      <c r="L110" s="1863"/>
      <c r="M110" s="1863"/>
      <c r="N110" s="1384"/>
      <c r="O110" s="1384"/>
      <c r="P110" s="1384"/>
      <c r="Q110" s="1384"/>
      <c r="R110" s="1863"/>
      <c r="S110" s="1384"/>
      <c r="T110" s="1384"/>
      <c r="U110" s="766"/>
      <c r="V110" s="1384"/>
      <c r="W110" s="1384"/>
      <c r="X110" s="1384"/>
      <c r="Y110" s="1384"/>
      <c r="Z110" s="1384"/>
      <c r="AA110" s="1859"/>
      <c r="AB110" s="788"/>
      <c r="AC110" s="788"/>
      <c r="AD110" s="788"/>
      <c r="AE110" s="788"/>
    </row>
    <row s="16671" customFormat="1" customHeight="1" ht="11.25">
      <c r="A111" s="1210"/>
      <c r="B111" s="1863"/>
      <c r="C111" s="1863"/>
      <c r="D111" s="573"/>
      <c r="K111" s="1384"/>
      <c r="L111" s="1863"/>
      <c r="M111" s="1863"/>
      <c r="N111" s="1384"/>
      <c r="O111" s="1384"/>
      <c r="P111" s="1384"/>
      <c r="Q111" s="1384"/>
      <c r="R111" s="1863"/>
      <c r="S111" s="1384"/>
      <c r="T111" s="1384"/>
      <c r="U111" s="766"/>
      <c r="V111" s="1384"/>
      <c r="W111" s="1384"/>
      <c r="X111" s="1384"/>
      <c r="Y111" s="1384"/>
      <c r="Z111" s="1384"/>
      <c r="AA111" s="1859"/>
      <c r="AB111" s="788"/>
      <c r="AC111" s="788"/>
      <c r="AD111" s="788"/>
      <c r="AE111" s="788"/>
    </row>
    <row s="16671" customFormat="1" customHeight="1" ht="11.25">
      <c r="A112" s="1210"/>
      <c r="B112" s="1863"/>
      <c r="C112" s="1863"/>
      <c r="D112" s="573"/>
      <c r="K112" s="1384"/>
      <c r="L112" s="1863"/>
      <c r="M112" s="1863"/>
      <c r="N112" s="1384"/>
      <c r="O112" s="1384"/>
      <c r="P112" s="1384"/>
      <c r="Q112" s="1384"/>
      <c r="R112" s="1863"/>
      <c r="S112" s="1384"/>
      <c r="T112" s="1384"/>
      <c r="U112" s="766"/>
      <c r="V112" s="1384"/>
      <c r="W112" s="1384"/>
      <c r="X112" s="1384"/>
      <c r="Y112" s="1384"/>
      <c r="Z112" s="1384"/>
      <c r="AA112" s="1859"/>
      <c r="AB112" s="788"/>
      <c r="AC112" s="788"/>
      <c r="AD112" s="788"/>
      <c r="AE112" s="788"/>
    </row>
    <row s="16671" customFormat="1" customHeight="1" ht="11.25">
      <c r="A113" s="1210"/>
      <c r="B113" s="1863"/>
      <c r="C113" s="1863"/>
      <c r="D113" s="573"/>
      <c r="K113" s="1384"/>
      <c r="L113" s="1863"/>
      <c r="M113" s="1863"/>
      <c r="N113" s="1384"/>
      <c r="O113" s="1384"/>
      <c r="P113" s="1384"/>
      <c r="Q113" s="1384"/>
      <c r="R113" s="1863"/>
      <c r="S113" s="1384"/>
      <c r="T113" s="1384"/>
      <c r="U113" s="766"/>
      <c r="V113" s="1384"/>
      <c r="W113" s="1384"/>
      <c r="X113" s="1384"/>
      <c r="Y113" s="1384"/>
      <c r="Z113" s="1384"/>
      <c r="AA113" s="1859"/>
      <c r="AB113" s="788"/>
      <c r="AC113" s="788"/>
      <c r="AD113" s="788"/>
      <c r="AE113" s="788"/>
    </row>
    <row s="16671" customFormat="1" customHeight="1" ht="11.25">
      <c r="A114" s="1210"/>
      <c r="B114" s="1863"/>
      <c r="C114" s="1863"/>
      <c r="D114" s="573"/>
      <c r="K114" s="1384"/>
      <c r="L114" s="1863"/>
      <c r="M114" s="1863"/>
      <c r="N114" s="1384"/>
      <c r="O114" s="1384"/>
      <c r="P114" s="1384"/>
      <c r="Q114" s="1384"/>
      <c r="R114" s="1863"/>
      <c r="S114" s="1384"/>
      <c r="T114" s="1384"/>
      <c r="U114" s="766"/>
      <c r="V114" s="1384"/>
      <c r="W114" s="1384"/>
      <c r="X114" s="1384"/>
      <c r="Y114" s="1384"/>
      <c r="Z114" s="1384"/>
      <c r="AA114" s="1859"/>
      <c r="AB114" s="788"/>
      <c r="AC114" s="788"/>
      <c r="AD114" s="788"/>
      <c r="AE114" s="788"/>
    </row>
    <row s="16671" customFormat="1" customHeight="1" ht="11.25">
      <c r="A115" s="1210"/>
      <c r="B115" s="1863"/>
      <c r="C115" s="1863"/>
      <c r="D115" s="573"/>
      <c r="K115" s="1384"/>
      <c r="L115" s="1863"/>
      <c r="M115" s="1863"/>
      <c r="N115" s="1384"/>
      <c r="O115" s="1384"/>
      <c r="P115" s="1384"/>
      <c r="Q115" s="1384"/>
      <c r="R115" s="1863"/>
      <c r="S115" s="1384"/>
      <c r="T115" s="1384"/>
      <c r="U115" s="766"/>
      <c r="V115" s="1384"/>
      <c r="W115" s="1384"/>
      <c r="X115" s="1384"/>
      <c r="Y115" s="1384"/>
      <c r="Z115" s="1384"/>
      <c r="AA115" s="1859"/>
      <c r="AB115" s="788"/>
      <c r="AC115" s="788"/>
      <c r="AD115" s="788"/>
      <c r="AE115" s="788"/>
    </row>
    <row s="16671" customFormat="1" customHeight="1" ht="11.25">
      <c r="A116" s="1210"/>
      <c r="B116" s="1863"/>
      <c r="C116" s="1863"/>
      <c r="D116" s="573"/>
      <c r="K116" s="1384"/>
      <c r="L116" s="1863"/>
      <c r="M116" s="1863"/>
      <c r="N116" s="1384"/>
      <c r="O116" s="1384"/>
      <c r="P116" s="1384"/>
      <c r="Q116" s="1384"/>
      <c r="R116" s="1863"/>
      <c r="S116" s="1384"/>
      <c r="T116" s="1384"/>
      <c r="U116" s="766"/>
      <c r="V116" s="1384"/>
      <c r="W116" s="1384"/>
      <c r="X116" s="1384"/>
      <c r="Y116" s="1384"/>
      <c r="Z116" s="1384"/>
      <c r="AA116" s="1859"/>
      <c r="AB116" s="788"/>
      <c r="AC116" s="788"/>
      <c r="AD116" s="788"/>
      <c r="AE116" s="788"/>
    </row>
    <row s="16671" customFormat="1" customHeight="1" ht="11.25">
      <c r="A117" s="1210"/>
      <c r="B117" s="1863"/>
      <c r="C117" s="1863"/>
      <c r="D117" s="573"/>
      <c r="K117" s="1384"/>
      <c r="L117" s="1863"/>
      <c r="M117" s="1863"/>
      <c r="N117" s="1384"/>
      <c r="O117" s="1384"/>
      <c r="P117" s="1384"/>
      <c r="Q117" s="1384"/>
      <c r="R117" s="1863"/>
      <c r="S117" s="1384"/>
      <c r="T117" s="1384"/>
      <c r="U117" s="766"/>
      <c r="V117" s="1384"/>
      <c r="W117" s="1384"/>
      <c r="X117" s="1384"/>
      <c r="Y117" s="1384"/>
      <c r="Z117" s="1384"/>
      <c r="AA117" s="1859"/>
      <c r="AB117" s="788"/>
      <c r="AC117" s="788"/>
      <c r="AD117" s="788"/>
      <c r="AE117" s="788"/>
    </row>
    <row s="16671" customFormat="1" customHeight="1" ht="11.25">
      <c r="A118" s="1210"/>
      <c r="B118" s="1863"/>
      <c r="C118" s="1863"/>
      <c r="D118" s="573"/>
      <c r="K118" s="1384"/>
      <c r="L118" s="1863"/>
      <c r="M118" s="1863"/>
      <c r="N118" s="1384"/>
      <c r="O118" s="1384"/>
      <c r="P118" s="1384"/>
      <c r="Q118" s="1384"/>
      <c r="R118" s="1863"/>
      <c r="S118" s="1384"/>
      <c r="T118" s="1384"/>
      <c r="U118" s="766"/>
      <c r="V118" s="1384"/>
      <c r="W118" s="1384"/>
      <c r="X118" s="1384"/>
      <c r="Y118" s="1384"/>
      <c r="Z118" s="1384"/>
      <c r="AA118" s="1859"/>
      <c r="AB118" s="788"/>
      <c r="AC118" s="788"/>
      <c r="AD118" s="788"/>
      <c r="AE118" s="788"/>
    </row>
    <row s="16671" customFormat="1" customHeight="1" ht="11.25">
      <c r="A119" s="1210"/>
      <c r="B119" s="1863"/>
      <c r="C119" s="1863"/>
      <c r="D119" s="573"/>
      <c r="K119" s="1384"/>
      <c r="L119" s="1863"/>
      <c r="M119" s="1863"/>
      <c r="N119" s="1384"/>
      <c r="O119" s="1384"/>
      <c r="P119" s="1384"/>
      <c r="Q119" s="1384"/>
      <c r="R119" s="1863"/>
      <c r="S119" s="1384"/>
      <c r="T119" s="1384"/>
      <c r="U119" s="766"/>
      <c r="V119" s="1384"/>
      <c r="W119" s="1384"/>
      <c r="X119" s="1384"/>
      <c r="Y119" s="1384"/>
      <c r="Z119" s="1384"/>
      <c r="AA119" s="1859"/>
      <c r="AB119" s="788"/>
      <c r="AC119" s="788"/>
      <c r="AD119" s="788"/>
      <c r="AE119" s="788"/>
    </row>
    <row s="16671" customFormat="1" customHeight="1" ht="11.25">
      <c r="A120" s="1210"/>
      <c r="B120" s="1863"/>
      <c r="C120" s="1863"/>
      <c r="D120" s="573"/>
      <c r="K120" s="1384"/>
      <c r="L120" s="1863"/>
      <c r="M120" s="1863"/>
      <c r="N120" s="1384"/>
      <c r="O120" s="1384"/>
      <c r="P120" s="1384"/>
      <c r="Q120" s="1384"/>
      <c r="R120" s="1863"/>
      <c r="S120" s="1384"/>
      <c r="T120" s="1384"/>
      <c r="U120" s="766"/>
      <c r="V120" s="1384"/>
      <c r="W120" s="1384"/>
      <c r="X120" s="1384"/>
      <c r="Y120" s="1384"/>
      <c r="Z120" s="1384"/>
      <c r="AA120" s="1859"/>
      <c r="AB120" s="788"/>
      <c r="AC120" s="788"/>
      <c r="AD120" s="788"/>
      <c r="AE120" s="788"/>
    </row>
    <row s="16671" customFormat="1" customHeight="1" ht="11.25">
      <c r="A121" s="1210"/>
      <c r="B121" s="1863"/>
      <c r="C121" s="1863"/>
      <c r="D121" s="573"/>
      <c r="K121" s="1384"/>
      <c r="L121" s="1863"/>
      <c r="M121" s="1863"/>
      <c r="N121" s="1384"/>
      <c r="O121" s="1384"/>
      <c r="P121" s="1384"/>
      <c r="Q121" s="1384"/>
      <c r="R121" s="1863"/>
      <c r="S121" s="1384"/>
      <c r="T121" s="1384"/>
      <c r="U121" s="766"/>
      <c r="V121" s="1384"/>
      <c r="W121" s="1384"/>
      <c r="X121" s="1384"/>
      <c r="Y121" s="1384"/>
      <c r="Z121" s="1384"/>
      <c r="AA121" s="1859"/>
      <c r="AB121" s="788"/>
      <c r="AC121" s="788"/>
      <c r="AD121" s="788"/>
      <c r="AE121" s="788"/>
    </row>
    <row s="16671" customFormat="1" customHeight="1" ht="11.25">
      <c r="A122" s="1210"/>
      <c r="B122" s="1863"/>
      <c r="C122" s="1863"/>
      <c r="D122" s="573"/>
      <c r="K122" s="1384"/>
      <c r="L122" s="1863"/>
      <c r="M122" s="1863"/>
      <c r="N122" s="1384"/>
      <c r="O122" s="1384"/>
      <c r="P122" s="1384"/>
      <c r="Q122" s="1384"/>
      <c r="R122" s="1863"/>
      <c r="S122" s="1384"/>
      <c r="T122" s="1384"/>
      <c r="U122" s="766"/>
      <c r="V122" s="1384"/>
      <c r="W122" s="1384"/>
      <c r="X122" s="1384"/>
      <c r="Y122" s="1384"/>
      <c r="Z122" s="1384"/>
      <c r="AA122" s="1859"/>
      <c r="AB122" s="788"/>
      <c r="AC122" s="788"/>
      <c r="AD122" s="788"/>
      <c r="AE122" s="788"/>
    </row>
    <row s="16671" customFormat="1" customHeight="1" ht="11.25">
      <c r="A123" s="1210"/>
      <c r="B123" s="1863"/>
      <c r="C123" s="1863"/>
      <c r="D123" s="573"/>
      <c r="K123" s="1384"/>
      <c r="L123" s="1863"/>
      <c r="M123" s="1863"/>
      <c r="N123" s="1384"/>
      <c r="O123" s="1384"/>
      <c r="P123" s="1384"/>
      <c r="Q123" s="1384"/>
      <c r="R123" s="1863"/>
      <c r="S123" s="1384"/>
      <c r="T123" s="1384"/>
      <c r="U123" s="766"/>
      <c r="V123" s="1384"/>
      <c r="W123" s="1384"/>
      <c r="X123" s="1384"/>
      <c r="Y123" s="1384"/>
      <c r="Z123" s="1384"/>
      <c r="AA123" s="1859"/>
      <c r="AB123" s="788"/>
      <c r="AC123" s="788"/>
      <c r="AD123" s="788"/>
      <c r="AE123" s="788"/>
    </row>
    <row s="16671" customFormat="1" customHeight="1" ht="11.25">
      <c r="A124" s="1210"/>
      <c r="B124" s="1863"/>
      <c r="C124" s="1863"/>
      <c r="D124" s="573"/>
      <c r="K124" s="1384"/>
      <c r="L124" s="1863"/>
      <c r="M124" s="1863"/>
      <c r="N124" s="1384"/>
      <c r="O124" s="1384"/>
      <c r="P124" s="1384"/>
      <c r="Q124" s="1384"/>
      <c r="R124" s="1863"/>
      <c r="S124" s="1384"/>
      <c r="T124" s="1384"/>
      <c r="U124" s="766"/>
      <c r="V124" s="1384"/>
      <c r="W124" s="1384"/>
      <c r="X124" s="1384"/>
      <c r="Y124" s="1384"/>
      <c r="Z124" s="1384"/>
      <c r="AA124" s="1859"/>
      <c r="AB124" s="788"/>
      <c r="AC124" s="788"/>
      <c r="AD124" s="788"/>
      <c r="AE124" s="788"/>
    </row>
    <row s="16671" customFormat="1" customHeight="1" ht="11.25">
      <c r="A125" s="1210"/>
      <c r="B125" s="1863"/>
      <c r="C125" s="1863"/>
      <c r="D125" s="573"/>
      <c r="K125" s="1384"/>
      <c r="L125" s="1863"/>
      <c r="M125" s="1863"/>
      <c r="N125" s="1384"/>
      <c r="O125" s="1384"/>
      <c r="P125" s="1384"/>
      <c r="Q125" s="1384"/>
      <c r="R125" s="1863"/>
      <c r="S125" s="1384"/>
      <c r="T125" s="1384"/>
      <c r="U125" s="766"/>
      <c r="V125" s="1384"/>
      <c r="W125" s="1384"/>
      <c r="X125" s="1384"/>
      <c r="Y125" s="1384"/>
      <c r="Z125" s="1384"/>
      <c r="AA125" s="1859"/>
      <c r="AB125" s="788"/>
      <c r="AC125" s="788"/>
      <c r="AD125" s="788"/>
      <c r="AE125" s="788"/>
    </row>
    <row s="16671" customFormat="1" customHeight="1" ht="11.25">
      <c r="A126" s="1210"/>
      <c r="B126" s="1863"/>
      <c r="C126" s="1863"/>
      <c r="D126" s="573"/>
      <c r="K126" s="1384"/>
      <c r="L126" s="1863"/>
      <c r="M126" s="1863"/>
      <c r="N126" s="1384"/>
      <c r="O126" s="1384"/>
      <c r="P126" s="1384"/>
      <c r="Q126" s="1384"/>
      <c r="R126" s="1863"/>
      <c r="S126" s="1384"/>
      <c r="T126" s="1384"/>
      <c r="U126" s="766"/>
      <c r="V126" s="1384"/>
      <c r="W126" s="1384"/>
      <c r="X126" s="1384"/>
      <c r="Y126" s="1384"/>
      <c r="Z126" s="1384"/>
      <c r="AA126" s="1859"/>
      <c r="AB126" s="788"/>
      <c r="AC126" s="788"/>
      <c r="AD126" s="788"/>
      <c r="AE126" s="788"/>
    </row>
    <row s="16671" customFormat="1" customHeight="1" ht="11.25">
      <c r="A127" s="1210"/>
      <c r="B127" s="1863"/>
      <c r="C127" s="1863"/>
      <c r="D127" s="573"/>
      <c r="K127" s="1384"/>
      <c r="L127" s="1863"/>
      <c r="M127" s="1863"/>
      <c r="N127" s="1384"/>
      <c r="O127" s="1384"/>
      <c r="P127" s="1384"/>
      <c r="Q127" s="1384"/>
      <c r="R127" s="1863"/>
      <c r="S127" s="1384"/>
      <c r="T127" s="1384"/>
      <c r="U127" s="766"/>
      <c r="V127" s="1384"/>
      <c r="W127" s="1384"/>
      <c r="X127" s="1384"/>
      <c r="Y127" s="1384"/>
      <c r="Z127" s="1384"/>
      <c r="AA127" s="1859"/>
      <c r="AB127" s="788"/>
      <c r="AC127" s="788"/>
      <c r="AD127" s="788"/>
      <c r="AE127" s="788"/>
    </row>
    <row s="16671" customFormat="1" customHeight="1" ht="11.25">
      <c r="A128" s="1210"/>
      <c r="B128" s="1863"/>
      <c r="C128" s="1863"/>
      <c r="D128" s="573"/>
      <c r="K128" s="1384"/>
      <c r="L128" s="1863"/>
      <c r="M128" s="1863"/>
      <c r="N128" s="1384"/>
      <c r="O128" s="1384"/>
      <c r="P128" s="1384"/>
      <c r="Q128" s="1384"/>
      <c r="R128" s="1863"/>
      <c r="S128" s="1384"/>
      <c r="T128" s="1384"/>
      <c r="U128" s="766"/>
      <c r="V128" s="1384"/>
      <c r="W128" s="1384"/>
      <c r="X128" s="1384"/>
      <c r="Y128" s="1384"/>
      <c r="Z128" s="1384"/>
      <c r="AA128" s="1859"/>
      <c r="AB128" s="788"/>
      <c r="AC128" s="788"/>
      <c r="AD128" s="788"/>
      <c r="AE128" s="788"/>
    </row>
    <row s="16671" customFormat="1" customHeight="1" ht="11.25">
      <c r="A129" s="1210"/>
      <c r="B129" s="1863"/>
      <c r="C129" s="1863"/>
      <c r="D129" s="573"/>
      <c r="K129" s="1384"/>
      <c r="L129" s="1863"/>
      <c r="M129" s="1863"/>
      <c r="N129" s="1384"/>
      <c r="O129" s="1384"/>
      <c r="P129" s="1384"/>
      <c r="Q129" s="1384"/>
      <c r="R129" s="1863"/>
      <c r="S129" s="1384"/>
      <c r="T129" s="1384"/>
      <c r="U129" s="766"/>
      <c r="V129" s="1384"/>
      <c r="W129" s="1384"/>
      <c r="X129" s="1384"/>
      <c r="Y129" s="1384"/>
      <c r="Z129" s="1384"/>
      <c r="AA129" s="1859"/>
      <c r="AB129" s="788"/>
      <c r="AC129" s="788"/>
      <c r="AD129" s="788"/>
      <c r="AE129" s="788"/>
    </row>
    <row s="16671" customFormat="1" customHeight="1" ht="11.25">
      <c r="A130" s="1210"/>
      <c r="B130" s="1863"/>
      <c r="C130" s="1863"/>
      <c r="D130" s="573"/>
      <c r="K130" s="1384"/>
      <c r="L130" s="1863"/>
      <c r="M130" s="1863"/>
      <c r="N130" s="1384"/>
      <c r="O130" s="1384"/>
      <c r="P130" s="1384"/>
      <c r="Q130" s="1384"/>
      <c r="R130" s="1863"/>
      <c r="S130" s="1384"/>
      <c r="T130" s="1384"/>
      <c r="U130" s="766"/>
      <c r="V130" s="1384"/>
      <c r="W130" s="1384"/>
      <c r="X130" s="1384"/>
      <c r="Y130" s="1384"/>
      <c r="Z130" s="1384"/>
      <c r="AA130" s="1859"/>
      <c r="AB130" s="788"/>
      <c r="AC130" s="788"/>
      <c r="AD130" s="788"/>
      <c r="AE130" s="788"/>
    </row>
    <row s="16671" customFormat="1" customHeight="1" ht="11.25">
      <c r="A131" s="1210"/>
      <c r="B131" s="1863"/>
      <c r="C131" s="1863"/>
      <c r="D131" s="573"/>
      <c r="K131" s="1384"/>
      <c r="L131" s="1863"/>
      <c r="M131" s="1863"/>
      <c r="N131" s="1384"/>
      <c r="O131" s="1384"/>
      <c r="P131" s="1384"/>
      <c r="Q131" s="1384"/>
      <c r="R131" s="1863"/>
      <c r="S131" s="1384"/>
      <c r="T131" s="1384"/>
      <c r="U131" s="766"/>
      <c r="V131" s="1384"/>
      <c r="W131" s="1384"/>
      <c r="X131" s="1384"/>
      <c r="Y131" s="1384"/>
      <c r="Z131" s="1384"/>
      <c r="AA131" s="1859"/>
      <c r="AB131" s="788"/>
      <c r="AC131" s="788"/>
      <c r="AD131" s="788"/>
      <c r="AE131" s="788"/>
    </row>
    <row s="16671" customFormat="1" customHeight="1" ht="11.25">
      <c r="A132" s="1210"/>
      <c r="B132" s="1863"/>
      <c r="C132" s="1863"/>
      <c r="D132" s="573"/>
      <c r="K132" s="1384"/>
      <c r="L132" s="1863"/>
      <c r="M132" s="1863"/>
      <c r="N132" s="1384"/>
      <c r="O132" s="1384"/>
      <c r="P132" s="1384"/>
      <c r="Q132" s="1384"/>
      <c r="R132" s="1863"/>
      <c r="S132" s="1384"/>
      <c r="T132" s="1384"/>
      <c r="U132" s="766"/>
      <c r="V132" s="1384"/>
      <c r="W132" s="1384"/>
      <c r="X132" s="1384"/>
      <c r="Y132" s="1384"/>
      <c r="Z132" s="1384"/>
      <c r="AA132" s="1859"/>
      <c r="AB132" s="788"/>
      <c r="AC132" s="788"/>
      <c r="AD132" s="788"/>
      <c r="AE132" s="788"/>
    </row>
    <row s="16671" customFormat="1" customHeight="1" ht="11.25">
      <c r="A133" s="1210"/>
      <c r="B133" s="1863"/>
      <c r="C133" s="1863"/>
      <c r="D133" s="573"/>
      <c r="K133" s="1384"/>
      <c r="L133" s="1863"/>
      <c r="M133" s="1863"/>
      <c r="N133" s="1384"/>
      <c r="O133" s="1384"/>
      <c r="P133" s="1384"/>
      <c r="Q133" s="1384"/>
      <c r="R133" s="1863"/>
      <c r="S133" s="1384"/>
      <c r="T133" s="1384"/>
      <c r="U133" s="766"/>
      <c r="V133" s="1384"/>
      <c r="W133" s="1384"/>
      <c r="X133" s="1384"/>
      <c r="Y133" s="1384"/>
      <c r="Z133" s="1384"/>
      <c r="AA133" s="1859"/>
      <c r="AB133" s="788"/>
      <c r="AC133" s="788"/>
      <c r="AD133" s="788"/>
      <c r="AE133" s="788"/>
    </row>
    <row s="16671" customFormat="1" customHeight="1" ht="11.25">
      <c r="A134" s="1210"/>
      <c r="B134" s="1863"/>
      <c r="C134" s="1863"/>
      <c r="D134" s="573"/>
      <c r="K134" s="1384"/>
      <c r="L134" s="1863"/>
      <c r="M134" s="1863"/>
      <c r="N134" s="1384"/>
      <c r="O134" s="1384"/>
      <c r="P134" s="1384"/>
      <c r="Q134" s="1384"/>
      <c r="R134" s="1863"/>
      <c r="S134" s="1384"/>
      <c r="T134" s="1384"/>
      <c r="U134" s="766"/>
      <c r="V134" s="1384"/>
      <c r="W134" s="1384"/>
      <c r="X134" s="1384"/>
      <c r="Y134" s="1384"/>
      <c r="Z134" s="1384"/>
      <c r="AA134" s="1859"/>
      <c r="AB134" s="788"/>
      <c r="AC134" s="788"/>
      <c r="AD134" s="788"/>
      <c r="AE134" s="788"/>
    </row>
    <row s="16671" customFormat="1" customHeight="1" ht="11.25">
      <c r="A135" s="1210"/>
      <c r="B135" s="1863"/>
      <c r="C135" s="1863"/>
      <c r="D135" s="573"/>
      <c r="K135" s="1384"/>
      <c r="L135" s="1863"/>
      <c r="M135" s="1863"/>
      <c r="N135" s="1384"/>
      <c r="O135" s="1384"/>
      <c r="P135" s="1384"/>
      <c r="Q135" s="1384"/>
      <c r="R135" s="1863"/>
      <c r="S135" s="1384"/>
      <c r="T135" s="1384"/>
      <c r="U135" s="766"/>
      <c r="V135" s="1384"/>
      <c r="W135" s="1384"/>
      <c r="X135" s="1384"/>
      <c r="Y135" s="1384"/>
      <c r="Z135" s="1384"/>
      <c r="AA135" s="1859"/>
      <c r="AB135" s="788"/>
      <c r="AC135" s="788"/>
      <c r="AD135" s="788"/>
      <c r="AE135" s="788"/>
    </row>
    <row s="16671" customFormat="1" customHeight="1" ht="11.25">
      <c r="A136" s="1210"/>
      <c r="B136" s="1863"/>
      <c r="C136" s="1863"/>
      <c r="D136" s="573"/>
      <c r="K136" s="1384"/>
      <c r="L136" s="1863"/>
      <c r="M136" s="1863"/>
      <c r="N136" s="1384"/>
      <c r="O136" s="1384"/>
      <c r="P136" s="1384"/>
      <c r="Q136" s="1384"/>
      <c r="R136" s="1863"/>
      <c r="S136" s="1384"/>
      <c r="T136" s="1384"/>
      <c r="U136" s="766"/>
      <c r="V136" s="1384"/>
      <c r="W136" s="1384"/>
      <c r="X136" s="1384"/>
      <c r="Y136" s="1384"/>
      <c r="Z136" s="1384"/>
      <c r="AA136" s="1859"/>
      <c r="AB136" s="788"/>
      <c r="AC136" s="788"/>
      <c r="AD136" s="788"/>
      <c r="AE136" s="788"/>
    </row>
    <row s="16671" customFormat="1" customHeight="1" ht="11.25">
      <c r="A137" s="1210"/>
      <c r="B137" s="1863"/>
      <c r="C137" s="1863"/>
      <c r="D137" s="573"/>
      <c r="K137" s="1384"/>
      <c r="L137" s="1863"/>
      <c r="M137" s="1863"/>
      <c r="N137" s="1384"/>
      <c r="O137" s="1384"/>
      <c r="P137" s="1384"/>
      <c r="Q137" s="1384"/>
      <c r="R137" s="1863"/>
      <c r="S137" s="1384"/>
      <c r="T137" s="1384"/>
      <c r="U137" s="766"/>
      <c r="V137" s="1384"/>
      <c r="W137" s="1384"/>
      <c r="X137" s="1384"/>
      <c r="Y137" s="1384"/>
      <c r="Z137" s="1384"/>
      <c r="AA137" s="1859"/>
      <c r="AB137" s="788"/>
      <c r="AC137" s="788"/>
      <c r="AD137" s="788"/>
      <c r="AE137" s="788"/>
    </row>
    <row s="16671" customFormat="1" customHeight="1" ht="11.25">
      <c r="A138" s="1210"/>
      <c r="B138" s="1863"/>
      <c r="C138" s="1863"/>
      <c r="D138" s="573"/>
      <c r="K138" s="1384"/>
      <c r="L138" s="1863"/>
      <c r="M138" s="1863"/>
      <c r="N138" s="1384"/>
      <c r="O138" s="1384"/>
      <c r="P138" s="1384"/>
      <c r="Q138" s="1384"/>
      <c r="R138" s="1863"/>
      <c r="S138" s="1384"/>
      <c r="T138" s="1384"/>
      <c r="U138" s="766"/>
      <c r="V138" s="1384"/>
      <c r="W138" s="1384"/>
      <c r="X138" s="1384"/>
      <c r="Y138" s="1384"/>
      <c r="Z138" s="1384"/>
      <c r="AA138" s="1859"/>
      <c r="AB138" s="788"/>
      <c r="AC138" s="788"/>
      <c r="AD138" s="788"/>
      <c r="AE138" s="788"/>
    </row>
    <row s="16671" customFormat="1" customHeight="1" ht="11.25">
      <c r="A139" s="1210"/>
      <c r="B139" s="1863"/>
      <c r="C139" s="1863"/>
      <c r="D139" s="573"/>
      <c r="K139" s="1384"/>
      <c r="L139" s="1863"/>
      <c r="M139" s="1863"/>
      <c r="N139" s="1384"/>
      <c r="O139" s="1384"/>
      <c r="P139" s="1384"/>
      <c r="Q139" s="1384"/>
      <c r="R139" s="1863"/>
      <c r="S139" s="1384"/>
      <c r="T139" s="1384"/>
      <c r="U139" s="766"/>
      <c r="V139" s="1384"/>
      <c r="W139" s="1384"/>
      <c r="X139" s="1384"/>
      <c r="Y139" s="1384"/>
      <c r="Z139" s="1384"/>
      <c r="AA139" s="1859"/>
      <c r="AB139" s="788"/>
      <c r="AC139" s="788"/>
      <c r="AD139" s="788"/>
      <c r="AE139" s="788"/>
    </row>
    <row s="16671" customFormat="1" customHeight="1" ht="11.25">
      <c r="A140" s="1210"/>
      <c r="B140" s="1863"/>
      <c r="C140" s="1863"/>
      <c r="D140" s="573"/>
      <c r="K140" s="1384"/>
      <c r="L140" s="1863"/>
      <c r="M140" s="1863"/>
      <c r="N140" s="1384"/>
      <c r="O140" s="1384"/>
      <c r="P140" s="1384"/>
      <c r="Q140" s="1384"/>
      <c r="R140" s="1863"/>
      <c r="S140" s="1384"/>
      <c r="T140" s="1384"/>
      <c r="U140" s="766"/>
      <c r="V140" s="1384"/>
      <c r="W140" s="1384"/>
      <c r="X140" s="1384"/>
      <c r="Y140" s="1384"/>
      <c r="Z140" s="1384"/>
      <c r="AA140" s="1859"/>
      <c r="AB140" s="788"/>
      <c r="AC140" s="788"/>
      <c r="AD140" s="788"/>
      <c r="AE140" s="788"/>
    </row>
    <row s="16671" customFormat="1" customHeight="1" ht="11.25">
      <c r="A141" s="1210"/>
      <c r="B141" s="1863"/>
      <c r="C141" s="1863"/>
      <c r="D141" s="573"/>
      <c r="K141" s="1384"/>
      <c r="L141" s="1863"/>
      <c r="M141" s="1863"/>
      <c r="N141" s="1384"/>
      <c r="O141" s="1384"/>
      <c r="P141" s="1384"/>
      <c r="Q141" s="1384"/>
      <c r="R141" s="1863"/>
      <c r="S141" s="1384"/>
      <c r="T141" s="1384"/>
      <c r="U141" s="766"/>
      <c r="V141" s="1384"/>
      <c r="W141" s="1384"/>
      <c r="X141" s="1384"/>
      <c r="Y141" s="1384"/>
      <c r="Z141" s="1384"/>
      <c r="AA141" s="1859"/>
      <c r="AB141" s="788"/>
      <c r="AC141" s="788"/>
      <c r="AD141" s="788"/>
      <c r="AE141" s="788"/>
    </row>
    <row s="16671" customFormat="1" customHeight="1" ht="11.25">
      <c r="A142" s="1210"/>
      <c r="B142" s="1863"/>
      <c r="C142" s="1863"/>
      <c r="D142" s="573"/>
      <c r="K142" s="1384"/>
      <c r="L142" s="1863"/>
      <c r="M142" s="1863"/>
      <c r="N142" s="1384"/>
      <c r="O142" s="1384"/>
      <c r="P142" s="1384"/>
      <c r="Q142" s="1384"/>
      <c r="R142" s="1863"/>
      <c r="S142" s="1384"/>
      <c r="T142" s="1384"/>
      <c r="U142" s="766"/>
      <c r="V142" s="1384"/>
      <c r="W142" s="1384"/>
      <c r="X142" s="1384"/>
      <c r="Y142" s="1384"/>
      <c r="Z142" s="1384"/>
      <c r="AA142" s="1859"/>
      <c r="AB142" s="788"/>
      <c r="AC142" s="788"/>
      <c r="AD142" s="788"/>
      <c r="AE142" s="788"/>
    </row>
    <row s="16671" customFormat="1" customHeight="1" ht="11.25">
      <c r="A143" s="1210"/>
      <c r="B143" s="1863"/>
      <c r="C143" s="1863"/>
      <c r="D143" s="573"/>
      <c r="K143" s="1384"/>
      <c r="L143" s="1863"/>
      <c r="M143" s="1863"/>
      <c r="N143" s="1384"/>
      <c r="O143" s="1384"/>
      <c r="P143" s="1384"/>
      <c r="Q143" s="1384"/>
      <c r="R143" s="1863"/>
      <c r="S143" s="1384"/>
      <c r="T143" s="1384"/>
      <c r="U143" s="766"/>
      <c r="V143" s="1384"/>
      <c r="W143" s="1384"/>
      <c r="X143" s="1384"/>
      <c r="Y143" s="1384"/>
      <c r="Z143" s="1384"/>
      <c r="AA143" s="1859"/>
      <c r="AB143" s="788"/>
      <c r="AC143" s="788"/>
      <c r="AD143" s="788"/>
      <c r="AE143" s="788"/>
    </row>
    <row s="16671" customFormat="1" customHeight="1" ht="11.25">
      <c r="A144" s="1210"/>
      <c r="B144" s="1863"/>
      <c r="C144" s="1863"/>
      <c r="D144" s="573"/>
      <c r="K144" s="1384"/>
      <c r="L144" s="1863"/>
      <c r="M144" s="1863"/>
      <c r="N144" s="1384"/>
      <c r="O144" s="1384"/>
      <c r="P144" s="1384"/>
      <c r="Q144" s="1384"/>
      <c r="R144" s="1863"/>
      <c r="S144" s="1384"/>
      <c r="T144" s="1384"/>
      <c r="U144" s="766"/>
      <c r="V144" s="1384"/>
      <c r="W144" s="1384"/>
      <c r="X144" s="1384"/>
      <c r="Y144" s="1384"/>
      <c r="Z144" s="1384"/>
      <c r="AA144" s="1859"/>
      <c r="AB144" s="788"/>
      <c r="AC144" s="788"/>
      <c r="AD144" s="788"/>
      <c r="AE144" s="788"/>
    </row>
    <row s="16671" customFormat="1" customHeight="1" ht="11.25">
      <c r="A145" s="1210"/>
      <c r="B145" s="1863"/>
      <c r="C145" s="1863"/>
      <c r="D145" s="573"/>
      <c r="K145" s="1384"/>
      <c r="L145" s="1863"/>
      <c r="M145" s="1863"/>
      <c r="N145" s="1384"/>
      <c r="O145" s="1384"/>
      <c r="P145" s="1384"/>
      <c r="Q145" s="1384"/>
      <c r="R145" s="1863"/>
      <c r="S145" s="1384"/>
      <c r="T145" s="1384"/>
      <c r="U145" s="766"/>
      <c r="V145" s="1384"/>
      <c r="W145" s="1384"/>
      <c r="X145" s="1384"/>
      <c r="Y145" s="1384"/>
      <c r="Z145" s="1384"/>
      <c r="AA145" s="1859"/>
      <c r="AB145" s="788"/>
      <c r="AC145" s="788"/>
      <c r="AD145" s="788"/>
      <c r="AE145" s="788"/>
    </row>
    <row s="16671" customFormat="1" customHeight="1" ht="11.25">
      <c r="A146" s="1210"/>
      <c r="B146" s="1863"/>
      <c r="C146" s="1863"/>
      <c r="D146" s="573"/>
      <c r="K146" s="1384"/>
      <c r="L146" s="1863"/>
      <c r="M146" s="1863"/>
      <c r="N146" s="1384"/>
      <c r="O146" s="1384"/>
      <c r="P146" s="1384"/>
      <c r="Q146" s="1384"/>
      <c r="R146" s="1863"/>
      <c r="S146" s="1384"/>
      <c r="T146" s="1384"/>
      <c r="U146" s="766"/>
      <c r="V146" s="1384"/>
      <c r="W146" s="1384"/>
      <c r="X146" s="1384"/>
      <c r="Y146" s="1384"/>
      <c r="Z146" s="1384"/>
      <c r="AA146" s="1859"/>
      <c r="AB146" s="788"/>
      <c r="AC146" s="788"/>
      <c r="AD146" s="788"/>
      <c r="AE146" s="788"/>
    </row>
    <row s="16671" customFormat="1" customHeight="1" ht="11.25">
      <c r="A147" s="1210"/>
      <c r="B147" s="1863"/>
      <c r="C147" s="1863"/>
      <c r="D147" s="573"/>
      <c r="K147" s="1384"/>
      <c r="L147" s="1863"/>
      <c r="M147" s="1863"/>
      <c r="N147" s="1384"/>
      <c r="O147" s="1384"/>
      <c r="P147" s="1384"/>
      <c r="Q147" s="1384"/>
      <c r="R147" s="1863"/>
      <c r="S147" s="1384"/>
      <c r="T147" s="1384"/>
      <c r="U147" s="766"/>
      <c r="V147" s="1384"/>
      <c r="W147" s="1384"/>
      <c r="X147" s="1384"/>
      <c r="Y147" s="1384"/>
      <c r="Z147" s="1384"/>
      <c r="AA147" s="1859"/>
      <c r="AB147" s="788"/>
      <c r="AC147" s="788"/>
      <c r="AD147" s="788"/>
      <c r="AE147" s="788"/>
    </row>
    <row s="16671" customFormat="1" customHeight="1" ht="11.25">
      <c r="A148" s="1210"/>
      <c r="B148" s="1863"/>
      <c r="C148" s="1863"/>
      <c r="D148" s="573"/>
      <c r="K148" s="1384"/>
      <c r="L148" s="1863"/>
      <c r="M148" s="1863"/>
      <c r="N148" s="1384"/>
      <c r="O148" s="1384"/>
      <c r="P148" s="1384"/>
      <c r="Q148" s="1384"/>
      <c r="R148" s="1863"/>
      <c r="S148" s="1384"/>
      <c r="T148" s="1384"/>
      <c r="U148" s="766"/>
      <c r="V148" s="1384"/>
      <c r="W148" s="1384"/>
      <c r="X148" s="1384"/>
      <c r="Y148" s="1384"/>
      <c r="Z148" s="1384"/>
      <c r="AA148" s="1859"/>
      <c r="AB148" s="788"/>
      <c r="AC148" s="788"/>
      <c r="AD148" s="788"/>
      <c r="AE148" s="788"/>
    </row>
    <row s="16671" customFormat="1" customHeight="1" ht="11.25">
      <c r="A149" s="1210"/>
      <c r="B149" s="1863"/>
      <c r="C149" s="1863"/>
      <c r="D149" s="573"/>
      <c r="K149" s="1384"/>
      <c r="L149" s="1863"/>
      <c r="M149" s="1863"/>
      <c r="N149" s="1384"/>
      <c r="O149" s="1384"/>
      <c r="P149" s="1384"/>
      <c r="Q149" s="1384"/>
      <c r="R149" s="1863"/>
      <c r="S149" s="1384"/>
      <c r="T149" s="1384"/>
      <c r="U149" s="766"/>
      <c r="V149" s="1384"/>
      <c r="W149" s="1384"/>
      <c r="X149" s="1384"/>
      <c r="Y149" s="1384"/>
      <c r="Z149" s="1384"/>
      <c r="AA149" s="1859"/>
      <c r="AB149" s="788"/>
      <c r="AC149" s="788"/>
      <c r="AD149" s="788"/>
      <c r="AE149" s="788"/>
    </row>
    <row s="16671" customFormat="1" customHeight="1" ht="11.25">
      <c r="A150" s="1210"/>
      <c r="B150" s="1863"/>
      <c r="C150" s="1863"/>
      <c r="D150" s="573"/>
      <c r="K150" s="1384"/>
      <c r="L150" s="1863"/>
      <c r="M150" s="1863"/>
      <c r="N150" s="1384"/>
      <c r="O150" s="1384"/>
      <c r="P150" s="1384"/>
      <c r="Q150" s="1384"/>
      <c r="R150" s="1863"/>
      <c r="S150" s="1384"/>
      <c r="T150" s="1384"/>
      <c r="U150" s="766"/>
      <c r="V150" s="1384"/>
      <c r="W150" s="1384"/>
      <c r="X150" s="1384"/>
      <c r="Y150" s="1384"/>
      <c r="Z150" s="1384"/>
      <c r="AA150" s="1859"/>
      <c r="AB150" s="788"/>
      <c r="AC150" s="788"/>
      <c r="AD150" s="788"/>
      <c r="AE150" s="788"/>
    </row>
    <row s="16671" customFormat="1" customHeight="1" ht="11.25">
      <c r="A151" s="1210"/>
      <c r="B151" s="1863"/>
      <c r="C151" s="1863"/>
      <c r="D151" s="573"/>
      <c r="K151" s="1384"/>
      <c r="L151" s="1863"/>
      <c r="M151" s="1863"/>
      <c r="N151" s="1384"/>
      <c r="O151" s="1384"/>
      <c r="P151" s="1384"/>
      <c r="Q151" s="1384"/>
      <c r="R151" s="1863"/>
      <c r="S151" s="1384"/>
      <c r="T151" s="1384"/>
      <c r="U151" s="766"/>
      <c r="V151" s="1384"/>
      <c r="W151" s="1384"/>
      <c r="X151" s="1384"/>
      <c r="Y151" s="1384"/>
      <c r="Z151" s="1384"/>
      <c r="AA151" s="1859"/>
      <c r="AB151" s="788"/>
      <c r="AC151" s="788"/>
      <c r="AD151" s="788"/>
      <c r="AE151" s="788"/>
    </row>
    <row s="16671" customFormat="1" customHeight="1" ht="11.25">
      <c r="A152" s="1210"/>
      <c r="B152" s="1863"/>
      <c r="C152" s="1863"/>
      <c r="D152" s="573"/>
      <c r="K152" s="1384"/>
      <c r="L152" s="1863"/>
      <c r="M152" s="1863"/>
      <c r="N152" s="1384"/>
      <c r="O152" s="1384"/>
      <c r="P152" s="1384"/>
      <c r="Q152" s="1384"/>
      <c r="R152" s="1863"/>
      <c r="S152" s="1384"/>
      <c r="T152" s="1384"/>
      <c r="U152" s="766"/>
      <c r="V152" s="1384"/>
      <c r="W152" s="1384"/>
      <c r="X152" s="1384"/>
      <c r="Y152" s="1384"/>
      <c r="Z152" s="1384"/>
      <c r="AA152" s="1859"/>
      <c r="AB152" s="788"/>
      <c r="AC152" s="788"/>
      <c r="AD152" s="788"/>
      <c r="AE152" s="788"/>
    </row>
    <row s="16671" customFormat="1" customHeight="1" ht="11.25">
      <c r="A153" s="1210"/>
      <c r="B153" s="1863"/>
      <c r="C153" s="1863"/>
      <c r="D153" s="573"/>
      <c r="K153" s="1384"/>
      <c r="L153" s="1863"/>
      <c r="M153" s="1863"/>
      <c r="N153" s="1384"/>
      <c r="O153" s="1384"/>
      <c r="P153" s="1384"/>
      <c r="Q153" s="1384"/>
      <c r="R153" s="1863"/>
      <c r="S153" s="1384"/>
      <c r="T153" s="1384"/>
      <c r="U153" s="766"/>
      <c r="V153" s="1384"/>
      <c r="W153" s="1384"/>
      <c r="X153" s="1384"/>
      <c r="Y153" s="1384"/>
      <c r="Z153" s="1384"/>
      <c r="AA153" s="1859"/>
      <c r="AB153" s="788"/>
      <c r="AC153" s="788"/>
      <c r="AD153" s="788"/>
      <c r="AE153" s="788"/>
    </row>
    <row s="16671" customFormat="1" customHeight="1" ht="11.25">
      <c r="A154" s="1210"/>
      <c r="B154" s="1863"/>
      <c r="C154" s="1863"/>
      <c r="D154" s="573"/>
      <c r="K154" s="1384"/>
      <c r="L154" s="1863"/>
      <c r="M154" s="1863"/>
      <c r="N154" s="1384"/>
      <c r="O154" s="1384"/>
      <c r="P154" s="1384"/>
      <c r="Q154" s="1384"/>
      <c r="R154" s="1863"/>
      <c r="S154" s="1384"/>
      <c r="T154" s="1384"/>
      <c r="U154" s="766"/>
      <c r="V154" s="1384"/>
      <c r="W154" s="1384"/>
      <c r="X154" s="1384"/>
      <c r="Y154" s="1384"/>
      <c r="Z154" s="1384"/>
      <c r="AA154" s="1859"/>
      <c r="AB154" s="788"/>
      <c r="AC154" s="788"/>
      <c r="AD154" s="788"/>
      <c r="AE154" s="788"/>
    </row>
    <row s="16671" customFormat="1" customHeight="1" ht="11.25">
      <c r="A155" s="1210"/>
      <c r="B155" s="1863"/>
      <c r="C155" s="1863"/>
      <c r="D155" s="573"/>
      <c r="K155" s="1384"/>
      <c r="L155" s="1863"/>
      <c r="M155" s="1863"/>
      <c r="N155" s="1384"/>
      <c r="O155" s="1384"/>
      <c r="P155" s="1384"/>
      <c r="Q155" s="1384"/>
      <c r="R155" s="1863"/>
      <c r="S155" s="1384"/>
      <c r="T155" s="1384"/>
      <c r="U155" s="766"/>
      <c r="V155" s="1384"/>
      <c r="W155" s="1384"/>
      <c r="X155" s="1384"/>
      <c r="Y155" s="1384"/>
      <c r="Z155" s="1384"/>
      <c r="AA155" s="1859"/>
      <c r="AB155" s="788"/>
      <c r="AC155" s="788"/>
      <c r="AD155" s="788"/>
      <c r="AE155" s="788"/>
    </row>
    <row s="16671" customFormat="1" customHeight="1" ht="11.25">
      <c r="A156" s="1210"/>
      <c r="B156" s="1863"/>
      <c r="C156" s="1863"/>
      <c r="D156" s="573"/>
      <c r="K156" s="1384"/>
      <c r="L156" s="1863"/>
      <c r="M156" s="1863"/>
      <c r="N156" s="1384"/>
      <c r="O156" s="1384"/>
      <c r="P156" s="1384"/>
      <c r="Q156" s="1384"/>
      <c r="R156" s="1863"/>
      <c r="S156" s="1384"/>
      <c r="T156" s="1384"/>
      <c r="U156" s="766"/>
      <c r="V156" s="1384"/>
      <c r="W156" s="1384"/>
      <c r="X156" s="1384"/>
      <c r="Y156" s="1384"/>
      <c r="Z156" s="1384"/>
      <c r="AA156" s="1859"/>
      <c r="AB156" s="788"/>
      <c r="AC156" s="788"/>
      <c r="AD156" s="788"/>
      <c r="AE156" s="788"/>
    </row>
    <row s="16671" customFormat="1" customHeight="1" ht="11.25">
      <c r="A157" s="1210"/>
      <c r="B157" s="1863"/>
      <c r="C157" s="1863"/>
      <c r="D157" s="573"/>
      <c r="K157" s="1384"/>
      <c r="L157" s="1863"/>
      <c r="M157" s="1863"/>
      <c r="N157" s="1384"/>
      <c r="O157" s="1384"/>
      <c r="P157" s="1384"/>
      <c r="Q157" s="1384"/>
      <c r="R157" s="1863"/>
      <c r="S157" s="1384"/>
      <c r="T157" s="1384"/>
      <c r="U157" s="766"/>
      <c r="V157" s="1384"/>
      <c r="W157" s="1384"/>
      <c r="X157" s="1384"/>
      <c r="Y157" s="1384"/>
      <c r="Z157" s="1384"/>
      <c r="AA157" s="1859"/>
      <c r="AB157" s="788"/>
      <c r="AC157" s="788"/>
      <c r="AD157" s="788"/>
      <c r="AE157" s="788"/>
    </row>
    <row s="16671" customFormat="1" customHeight="1" ht="11.25">
      <c r="A158" s="1210"/>
      <c r="B158" s="1863"/>
      <c r="C158" s="1863"/>
      <c r="D158" s="573"/>
      <c r="K158" s="1384"/>
      <c r="L158" s="1863"/>
      <c r="M158" s="1863"/>
      <c r="N158" s="1384"/>
      <c r="O158" s="1384"/>
      <c r="P158" s="1384"/>
      <c r="Q158" s="1384"/>
      <c r="R158" s="1863"/>
      <c r="S158" s="1384"/>
      <c r="T158" s="1384"/>
      <c r="U158" s="766"/>
      <c r="V158" s="1384"/>
      <c r="W158" s="1384"/>
      <c r="X158" s="1384"/>
      <c r="Y158" s="1384"/>
      <c r="Z158" s="1384"/>
      <c r="AA158" s="1859"/>
      <c r="AB158" s="788"/>
      <c r="AC158" s="788"/>
      <c r="AD158" s="788"/>
      <c r="AE158" s="788"/>
    </row>
    <row s="16671" customFormat="1" customHeight="1" ht="11.25">
      <c r="A159" s="1210"/>
      <c r="B159" s="1863"/>
      <c r="C159" s="1863"/>
      <c r="D159" s="573"/>
      <c r="K159" s="1384"/>
      <c r="L159" s="1863"/>
      <c r="M159" s="1863"/>
      <c r="N159" s="1384"/>
      <c r="O159" s="1384"/>
      <c r="P159" s="1384"/>
      <c r="Q159" s="1384"/>
      <c r="R159" s="1863"/>
      <c r="S159" s="1384"/>
      <c r="T159" s="1384"/>
      <c r="U159" s="766"/>
      <c r="V159" s="1384"/>
      <c r="W159" s="1384"/>
      <c r="X159" s="1384"/>
      <c r="Y159" s="1384"/>
      <c r="Z159" s="1384"/>
      <c r="AA159" s="1859"/>
      <c r="AB159" s="788"/>
      <c r="AC159" s="788"/>
      <c r="AD159" s="788"/>
      <c r="AE159" s="788"/>
    </row>
    <row s="16671" customFormat="1" customHeight="1" ht="11.25">
      <c r="A160" s="1210"/>
      <c r="B160" s="1863"/>
      <c r="C160" s="1863"/>
      <c r="D160" s="573"/>
      <c r="K160" s="1384"/>
      <c r="L160" s="1863"/>
      <c r="M160" s="1863"/>
      <c r="N160" s="1384"/>
      <c r="O160" s="1384"/>
      <c r="P160" s="1384"/>
      <c r="Q160" s="1384"/>
      <c r="R160" s="1863"/>
      <c r="S160" s="1384"/>
      <c r="T160" s="1384"/>
      <c r="U160" s="766"/>
      <c r="V160" s="1384"/>
      <c r="W160" s="1384"/>
      <c r="X160" s="1384"/>
      <c r="Y160" s="1384"/>
      <c r="Z160" s="1384"/>
      <c r="AA160" s="1859"/>
      <c r="AB160" s="788"/>
      <c r="AC160" s="788"/>
      <c r="AD160" s="788"/>
      <c r="AE160" s="788"/>
    </row>
    <row s="16671" customFormat="1" customHeight="1" ht="11.25">
      <c r="A161" s="1210"/>
      <c r="B161" s="1863"/>
      <c r="C161" s="1863"/>
      <c r="D161" s="573"/>
      <c r="K161" s="1384"/>
      <c r="L161" s="1863"/>
      <c r="M161" s="1863"/>
      <c r="N161" s="1384"/>
      <c r="O161" s="1384"/>
      <c r="P161" s="1384"/>
      <c r="Q161" s="1384"/>
      <c r="R161" s="1863"/>
      <c r="S161" s="1384"/>
      <c r="T161" s="1384"/>
      <c r="U161" s="766"/>
      <c r="V161" s="1384"/>
      <c r="W161" s="1384"/>
      <c r="X161" s="1384"/>
      <c r="Y161" s="1384"/>
      <c r="Z161" s="1384"/>
      <c r="AA161" s="1859"/>
      <c r="AB161" s="788"/>
      <c r="AC161" s="788"/>
      <c r="AD161" s="788"/>
      <c r="AE161" s="788"/>
    </row>
    <row s="16671" customFormat="1" customHeight="1" ht="11.25">
      <c r="A162" s="1210"/>
      <c r="B162" s="1863"/>
      <c r="C162" s="1863"/>
      <c r="D162" s="573"/>
      <c r="K162" s="1384"/>
      <c r="L162" s="1863"/>
      <c r="M162" s="1863"/>
      <c r="N162" s="1384"/>
      <c r="O162" s="1384"/>
      <c r="P162" s="1384"/>
      <c r="Q162" s="1384"/>
      <c r="R162" s="1863"/>
      <c r="S162" s="1384"/>
      <c r="T162" s="1384"/>
      <c r="U162" s="766"/>
      <c r="V162" s="1384"/>
      <c r="W162" s="1384"/>
      <c r="X162" s="1384"/>
      <c r="Y162" s="1384"/>
      <c r="Z162" s="1384"/>
      <c r="AA162" s="1859"/>
      <c r="AB162" s="788"/>
      <c r="AC162" s="788"/>
      <c r="AD162" s="788"/>
      <c r="AE162" s="788"/>
    </row>
    <row s="16671" customFormat="1" customHeight="1" ht="11.25">
      <c r="A163" s="1210"/>
      <c r="B163" s="1863"/>
      <c r="C163" s="1863"/>
      <c r="D163" s="573"/>
      <c r="K163" s="1384"/>
      <c r="L163" s="1863"/>
      <c r="M163" s="1863"/>
      <c r="N163" s="1384"/>
      <c r="O163" s="1384"/>
      <c r="P163" s="1384"/>
      <c r="Q163" s="1384"/>
      <c r="R163" s="1863"/>
      <c r="S163" s="1384"/>
      <c r="T163" s="1384"/>
      <c r="U163" s="766"/>
      <c r="V163" s="1384"/>
      <c r="W163" s="1384"/>
      <c r="X163" s="1384"/>
      <c r="Y163" s="1384"/>
      <c r="Z163" s="1384"/>
      <c r="AA163" s="1859"/>
      <c r="AB163" s="788"/>
      <c r="AC163" s="788"/>
      <c r="AD163" s="788"/>
      <c r="AE163" s="788"/>
    </row>
    <row s="16671" customFormat="1" customHeight="1" ht="11.25">
      <c r="A164" s="1210"/>
      <c r="B164" s="1863"/>
      <c r="C164" s="1863"/>
      <c r="D164" s="573"/>
      <c r="K164" s="1384"/>
      <c r="L164" s="1863"/>
      <c r="M164" s="1863"/>
      <c r="N164" s="1384"/>
      <c r="O164" s="1384"/>
      <c r="P164" s="1384"/>
      <c r="Q164" s="1384"/>
      <c r="R164" s="1863"/>
      <c r="S164" s="1384"/>
      <c r="T164" s="1384"/>
      <c r="U164" s="766"/>
      <c r="V164" s="1384"/>
      <c r="W164" s="1384"/>
      <c r="X164" s="1384"/>
      <c r="Y164" s="1384"/>
      <c r="Z164" s="1384"/>
      <c r="AA164" s="1859"/>
      <c r="AB164" s="788"/>
      <c r="AC164" s="788"/>
      <c r="AD164" s="788"/>
      <c r="AE164" s="788"/>
    </row>
    <row s="16671" customFormat="1" customHeight="1" ht="11.25">
      <c r="A165" s="1210"/>
      <c r="B165" s="1863"/>
      <c r="C165" s="1863"/>
      <c r="D165" s="573"/>
      <c r="K165" s="1384"/>
      <c r="L165" s="1863"/>
      <c r="M165" s="1863"/>
      <c r="N165" s="1384"/>
      <c r="O165" s="1384"/>
      <c r="P165" s="1384"/>
      <c r="Q165" s="1384"/>
      <c r="R165" s="1863"/>
      <c r="S165" s="1384"/>
      <c r="T165" s="1384"/>
      <c r="U165" s="766"/>
      <c r="V165" s="1384"/>
      <c r="W165" s="1384"/>
      <c r="X165" s="1384"/>
      <c r="Y165" s="1384"/>
      <c r="Z165" s="1384"/>
      <c r="AA165" s="1859"/>
      <c r="AB165" s="788"/>
      <c r="AC165" s="788"/>
      <c r="AD165" s="788"/>
      <c r="AE165" s="788"/>
    </row>
    <row s="16671" customFormat="1" customHeight="1" ht="11.25">
      <c r="A166" s="1210"/>
      <c r="B166" s="1863"/>
      <c r="C166" s="1863"/>
      <c r="D166" s="573"/>
      <c r="K166" s="1384"/>
      <c r="L166" s="1863"/>
      <c r="M166" s="1863"/>
      <c r="N166" s="1384"/>
      <c r="O166" s="1384"/>
      <c r="P166" s="1384"/>
      <c r="Q166" s="1384"/>
      <c r="R166" s="1863"/>
      <c r="S166" s="1384"/>
      <c r="T166" s="1384"/>
      <c r="U166" s="766"/>
      <c r="V166" s="1384"/>
      <c r="W166" s="1384"/>
      <c r="X166" s="1384"/>
      <c r="Y166" s="1384"/>
      <c r="Z166" s="1384"/>
      <c r="AA166" s="1859"/>
      <c r="AB166" s="788"/>
      <c r="AC166" s="788"/>
      <c r="AD166" s="788"/>
      <c r="AE166" s="788"/>
    </row>
    <row s="16671" customFormat="1" customHeight="1" ht="11.25">
      <c r="A167" s="1210"/>
      <c r="B167" s="1863"/>
      <c r="C167" s="1863"/>
      <c r="D167" s="573"/>
      <c r="K167" s="1384"/>
      <c r="L167" s="1863"/>
      <c r="M167" s="1863"/>
      <c r="N167" s="1384"/>
      <c r="O167" s="1384"/>
      <c r="P167" s="1384"/>
      <c r="Q167" s="1384"/>
      <c r="R167" s="1863"/>
      <c r="S167" s="1384"/>
      <c r="T167" s="1384"/>
      <c r="U167" s="766"/>
      <c r="V167" s="1384"/>
      <c r="W167" s="1384"/>
      <c r="X167" s="1384"/>
      <c r="Y167" s="1384"/>
      <c r="Z167" s="1384"/>
      <c r="AA167" s="1859"/>
      <c r="AB167" s="788"/>
      <c r="AC167" s="788"/>
      <c r="AD167" s="788"/>
      <c r="AE167" s="788"/>
    </row>
    <row s="16671" customFormat="1" customHeight="1" ht="11.25">
      <c r="A168" s="1210"/>
      <c r="B168" s="1863"/>
      <c r="C168" s="1863"/>
      <c r="D168" s="573"/>
      <c r="K168" s="1384"/>
      <c r="L168" s="1863"/>
      <c r="M168" s="1863"/>
      <c r="N168" s="1384"/>
      <c r="O168" s="1384"/>
      <c r="P168" s="1384"/>
      <c r="Q168" s="1384"/>
      <c r="R168" s="1863"/>
      <c r="S168" s="1384"/>
      <c r="T168" s="1384"/>
      <c r="U168" s="766"/>
      <c r="V168" s="1384"/>
      <c r="W168" s="1384"/>
      <c r="X168" s="1384"/>
      <c r="Y168" s="1384"/>
      <c r="Z168" s="1384"/>
      <c r="AA168" s="1859"/>
      <c r="AB168" s="788"/>
      <c r="AC168" s="788"/>
      <c r="AD168" s="788"/>
      <c r="AE168" s="788"/>
    </row>
    <row s="16671" customFormat="1" customHeight="1" ht="11.25">
      <c r="A169" s="1210"/>
      <c r="B169" s="1863"/>
      <c r="C169" s="1863"/>
      <c r="D169" s="573"/>
      <c r="K169" s="1384"/>
      <c r="L169" s="1863"/>
      <c r="M169" s="1863"/>
      <c r="N169" s="1384"/>
      <c r="O169" s="1384"/>
      <c r="P169" s="1384"/>
      <c r="Q169" s="1384"/>
      <c r="R169" s="1863"/>
      <c r="S169" s="1384"/>
      <c r="T169" s="1384"/>
      <c r="U169" s="766"/>
      <c r="V169" s="1384"/>
      <c r="W169" s="1384"/>
      <c r="X169" s="1384"/>
      <c r="Y169" s="1384"/>
      <c r="Z169" s="1384"/>
      <c r="AA169" s="1859"/>
      <c r="AB169" s="788"/>
      <c r="AC169" s="788"/>
      <c r="AD169" s="788"/>
      <c r="AE169" s="788"/>
    </row>
    <row s="16671" customFormat="1" customHeight="1" ht="11.25">
      <c r="A170" s="1210"/>
      <c r="B170" s="1863"/>
      <c r="C170" s="1863"/>
      <c r="D170" s="573"/>
      <c r="K170" s="1384"/>
      <c r="L170" s="1863"/>
      <c r="M170" s="1863"/>
      <c r="N170" s="1384"/>
      <c r="O170" s="1384"/>
      <c r="P170" s="1384"/>
      <c r="Q170" s="1384"/>
      <c r="R170" s="1863"/>
      <c r="S170" s="1384"/>
      <c r="T170" s="1384"/>
      <c r="U170" s="766"/>
      <c r="V170" s="1384"/>
      <c r="W170" s="1384"/>
      <c r="X170" s="1384"/>
      <c r="Y170" s="1384"/>
      <c r="Z170" s="1384"/>
      <c r="AA170" s="1859"/>
      <c r="AB170" s="788"/>
      <c r="AC170" s="788"/>
      <c r="AD170" s="788"/>
      <c r="AE170" s="788"/>
    </row>
    <row s="16671" customFormat="1" customHeight="1" ht="11.25">
      <c r="A171" s="1210"/>
      <c r="B171" s="1863"/>
      <c r="C171" s="1863"/>
      <c r="D171" s="573"/>
      <c r="K171" s="1384"/>
      <c r="L171" s="1863"/>
      <c r="M171" s="1863"/>
      <c r="N171" s="1384"/>
      <c r="O171" s="1384"/>
      <c r="P171" s="1384"/>
      <c r="Q171" s="1384"/>
      <c r="R171" s="1863"/>
      <c r="S171" s="1384"/>
      <c r="T171" s="1384"/>
      <c r="U171" s="766"/>
      <c r="V171" s="1384"/>
      <c r="W171" s="1384"/>
      <c r="X171" s="1384"/>
      <c r="Y171" s="1384"/>
      <c r="Z171" s="1384"/>
      <c r="AA171" s="1859"/>
      <c r="AB171" s="788"/>
      <c r="AC171" s="788"/>
      <c r="AD171" s="788"/>
      <c r="AE171" s="788"/>
    </row>
    <row s="16671" customFormat="1" customHeight="1" ht="11.25">
      <c r="A172" s="1210"/>
      <c r="B172" s="1863"/>
      <c r="C172" s="1863"/>
      <c r="D172" s="573"/>
      <c r="K172" s="1384"/>
      <c r="L172" s="1863"/>
      <c r="M172" s="1863"/>
      <c r="N172" s="1384"/>
      <c r="O172" s="1384"/>
      <c r="P172" s="1384"/>
      <c r="Q172" s="1384"/>
      <c r="R172" s="1863"/>
      <c r="S172" s="1384"/>
      <c r="T172" s="1384"/>
      <c r="U172" s="766"/>
      <c r="V172" s="1384"/>
      <c r="W172" s="1384"/>
      <c r="X172" s="1384"/>
      <c r="Y172" s="1384"/>
      <c r="Z172" s="1384"/>
      <c r="AA172" s="1859"/>
      <c r="AB172" s="788"/>
      <c r="AC172" s="788"/>
      <c r="AD172" s="788"/>
      <c r="AE172" s="788"/>
    </row>
    <row s="16671" customFormat="1" customHeight="1" ht="11.25">
      <c r="A173" s="1210"/>
      <c r="B173" s="1863"/>
      <c r="C173" s="1863"/>
      <c r="D173" s="573"/>
      <c r="K173" s="1384"/>
      <c r="L173" s="1863"/>
      <c r="M173" s="1863"/>
      <c r="N173" s="1384"/>
      <c r="O173" s="1384"/>
      <c r="P173" s="1384"/>
      <c r="Q173" s="1384"/>
      <c r="R173" s="1863"/>
      <c r="S173" s="1384"/>
      <c r="T173" s="1384"/>
      <c r="U173" s="766"/>
      <c r="V173" s="1384"/>
      <c r="W173" s="1384"/>
      <c r="X173" s="1384"/>
      <c r="Y173" s="1384"/>
      <c r="Z173" s="1384"/>
      <c r="AA173" s="1859"/>
      <c r="AB173" s="788"/>
      <c r="AC173" s="788"/>
      <c r="AD173" s="788"/>
      <c r="AE173" s="788"/>
    </row>
    <row s="16671" customFormat="1" customHeight="1" ht="11.25">
      <c r="A174" s="1210"/>
      <c r="B174" s="1863"/>
      <c r="C174" s="1863"/>
      <c r="D174" s="573"/>
      <c r="K174" s="1384"/>
      <c r="L174" s="1863"/>
      <c r="M174" s="1863"/>
      <c r="N174" s="1384"/>
      <c r="O174" s="1384"/>
      <c r="P174" s="1384"/>
      <c r="Q174" s="1384"/>
      <c r="R174" s="1863"/>
      <c r="S174" s="1384"/>
      <c r="T174" s="1384"/>
      <c r="U174" s="766"/>
      <c r="V174" s="1384"/>
      <c r="W174" s="1384"/>
      <c r="X174" s="1384"/>
      <c r="Y174" s="1384"/>
      <c r="Z174" s="1384"/>
      <c r="AA174" s="1859"/>
      <c r="AB174" s="788"/>
      <c r="AC174" s="788"/>
      <c r="AD174" s="788"/>
      <c r="AE174" s="788"/>
    </row>
    <row s="16671" customFormat="1" customHeight="1" ht="11.25">
      <c r="A175" s="1210"/>
      <c r="B175" s="1863"/>
      <c r="C175" s="1863"/>
      <c r="D175" s="573"/>
      <c r="K175" s="1384"/>
      <c r="L175" s="1863"/>
      <c r="M175" s="1863"/>
      <c r="N175" s="1384"/>
      <c r="O175" s="1384"/>
      <c r="P175" s="1384"/>
      <c r="Q175" s="1384"/>
      <c r="R175" s="1863"/>
      <c r="S175" s="1384"/>
      <c r="T175" s="1384"/>
      <c r="U175" s="766"/>
      <c r="V175" s="1384"/>
      <c r="W175" s="1384"/>
      <c r="X175" s="1384"/>
      <c r="Y175" s="1384"/>
      <c r="Z175" s="1384"/>
      <c r="AA175" s="1859"/>
      <c r="AB175" s="788"/>
      <c r="AC175" s="788"/>
      <c r="AD175" s="788"/>
      <c r="AE175" s="788"/>
    </row>
    <row s="16671" customFormat="1" customHeight="1" ht="11.25">
      <c r="A176" s="1210"/>
      <c r="B176" s="1863"/>
      <c r="C176" s="1863"/>
      <c r="D176" s="573"/>
      <c r="K176" s="1384"/>
      <c r="L176" s="1863"/>
      <c r="M176" s="1863"/>
      <c r="N176" s="1384"/>
      <c r="O176" s="1384"/>
      <c r="P176" s="1384"/>
      <c r="Q176" s="1384"/>
      <c r="R176" s="1863"/>
      <c r="S176" s="1384"/>
      <c r="T176" s="1384"/>
      <c r="U176" s="766"/>
      <c r="V176" s="1384"/>
      <c r="W176" s="1384"/>
      <c r="X176" s="1384"/>
      <c r="Y176" s="1384"/>
      <c r="Z176" s="1384"/>
      <c r="AA176" s="1859"/>
      <c r="AB176" s="788"/>
      <c r="AC176" s="788"/>
      <c r="AD176" s="788"/>
      <c r="AE176" s="788"/>
    </row>
    <row s="16671" customFormat="1" customHeight="1" ht="11.25">
      <c r="A177" s="1210"/>
      <c r="B177" s="1863"/>
      <c r="C177" s="1863"/>
      <c r="D177" s="573"/>
      <c r="K177" s="1384"/>
      <c r="L177" s="1863"/>
      <c r="M177" s="1863"/>
      <c r="N177" s="1384"/>
      <c r="O177" s="1384"/>
      <c r="P177" s="1384"/>
      <c r="Q177" s="1384"/>
      <c r="R177" s="1863"/>
      <c r="S177" s="1384"/>
      <c r="T177" s="1384"/>
      <c r="U177" s="766"/>
      <c r="V177" s="1384"/>
      <c r="W177" s="1384"/>
      <c r="X177" s="1384"/>
      <c r="Y177" s="1384"/>
      <c r="Z177" s="1384"/>
      <c r="AA177" s="1859"/>
      <c r="AB177" s="788"/>
      <c r="AC177" s="788"/>
      <c r="AD177" s="788"/>
      <c r="AE177" s="788"/>
    </row>
    <row s="16671" customFormat="1" customHeight="1" ht="11.25">
      <c r="A178" s="1210"/>
      <c r="B178" s="1863"/>
      <c r="C178" s="1863"/>
      <c r="D178" s="573"/>
      <c r="K178" s="1384"/>
      <c r="L178" s="1863"/>
      <c r="M178" s="1863"/>
      <c r="N178" s="1384"/>
      <c r="O178" s="1384"/>
      <c r="P178" s="1384"/>
      <c r="Q178" s="1384"/>
      <c r="R178" s="1863"/>
      <c r="S178" s="1384"/>
      <c r="T178" s="1384"/>
      <c r="U178" s="766"/>
      <c r="V178" s="1384"/>
      <c r="W178" s="1384"/>
      <c r="X178" s="1384"/>
      <c r="Y178" s="1384"/>
      <c r="Z178" s="1384"/>
      <c r="AA178" s="1859"/>
      <c r="AB178" s="788"/>
      <c r="AC178" s="788"/>
      <c r="AD178" s="788"/>
      <c r="AE178" s="788"/>
    </row>
    <row s="16671" customFormat="1" customHeight="1" ht="11.25">
      <c r="A179" s="1210"/>
      <c r="B179" s="1863"/>
      <c r="C179" s="1863"/>
      <c r="D179" s="573"/>
      <c r="K179" s="1384"/>
      <c r="L179" s="1863"/>
      <c r="M179" s="1863"/>
      <c r="N179" s="1384"/>
      <c r="O179" s="1384"/>
      <c r="P179" s="1384"/>
      <c r="Q179" s="1384"/>
      <c r="R179" s="1863"/>
      <c r="S179" s="1384"/>
      <c r="T179" s="1384"/>
      <c r="U179" s="766"/>
      <c r="V179" s="1384"/>
      <c r="W179" s="1384"/>
      <c r="X179" s="1384"/>
      <c r="Y179" s="1384"/>
      <c r="Z179" s="1384"/>
      <c r="AA179" s="1859"/>
      <c r="AB179" s="788"/>
      <c r="AC179" s="788"/>
      <c r="AD179" s="788"/>
      <c r="AE179" s="788"/>
    </row>
    <row s="16671" customFormat="1" customHeight="1" ht="11.25">
      <c r="A180" s="1210"/>
      <c r="B180" s="1863"/>
      <c r="C180" s="1863"/>
      <c r="D180" s="573"/>
      <c r="K180" s="1384"/>
      <c r="L180" s="1863"/>
      <c r="M180" s="1863"/>
      <c r="N180" s="1384"/>
      <c r="O180" s="1384"/>
      <c r="P180" s="1384"/>
      <c r="Q180" s="1384"/>
      <c r="R180" s="1863"/>
      <c r="S180" s="1384"/>
      <c r="T180" s="1384"/>
      <c r="U180" s="766"/>
      <c r="V180" s="1384"/>
      <c r="W180" s="1384"/>
      <c r="X180" s="1384"/>
      <c r="Y180" s="1384"/>
      <c r="Z180" s="1384"/>
      <c r="AA180" s="1859"/>
      <c r="AB180" s="788"/>
      <c r="AC180" s="788"/>
      <c r="AD180" s="788"/>
      <c r="AE180" s="788"/>
    </row>
    <row s="16671" customFormat="1" customHeight="1" ht="11.25">
      <c r="A181" s="1210"/>
      <c r="B181" s="1863"/>
      <c r="C181" s="1863"/>
      <c r="D181" s="573"/>
      <c r="K181" s="1384"/>
      <c r="L181" s="1863"/>
      <c r="M181" s="1863"/>
      <c r="N181" s="1384"/>
      <c r="O181" s="1384"/>
      <c r="P181" s="1384"/>
      <c r="Q181" s="1384"/>
      <c r="R181" s="1863"/>
      <c r="S181" s="1384"/>
      <c r="T181" s="1384"/>
      <c r="U181" s="766"/>
      <c r="V181" s="1384"/>
      <c r="W181" s="1384"/>
      <c r="X181" s="1384"/>
      <c r="Y181" s="1384"/>
      <c r="Z181" s="1384"/>
      <c r="AA181" s="1859"/>
      <c r="AB181" s="788"/>
      <c r="AC181" s="788"/>
      <c r="AD181" s="788"/>
      <c r="AE181" s="788"/>
    </row>
    <row s="16671" customFormat="1" customHeight="1" ht="11.25">
      <c r="A182" s="1210"/>
      <c r="B182" s="1863"/>
      <c r="C182" s="1863"/>
      <c r="D182" s="573"/>
      <c r="K182" s="1384"/>
      <c r="L182" s="1863"/>
      <c r="M182" s="1863"/>
      <c r="N182" s="1384"/>
      <c r="O182" s="1384"/>
      <c r="P182" s="1384"/>
      <c r="Q182" s="1384"/>
      <c r="R182" s="1863"/>
      <c r="S182" s="1384"/>
      <c r="T182" s="1384"/>
      <c r="U182" s="766"/>
      <c r="V182" s="1384"/>
      <c r="W182" s="1384"/>
      <c r="X182" s="1384"/>
      <c r="Y182" s="1384"/>
      <c r="Z182" s="1384"/>
      <c r="AA182" s="1859"/>
      <c r="AB182" s="788"/>
      <c r="AC182" s="788"/>
      <c r="AD182" s="788"/>
      <c r="AE182" s="788"/>
    </row>
    <row s="16671" customFormat="1" customHeight="1" ht="11.25">
      <c r="A183" s="1210"/>
      <c r="B183" s="1863"/>
      <c r="C183" s="1863"/>
      <c r="D183" s="573"/>
      <c r="K183" s="1384"/>
      <c r="L183" s="1863"/>
      <c r="M183" s="1863"/>
      <c r="N183" s="1384"/>
      <c r="O183" s="1384"/>
      <c r="P183" s="1384"/>
      <c r="Q183" s="1384"/>
      <c r="R183" s="1863"/>
      <c r="S183" s="1384"/>
      <c r="T183" s="1384"/>
      <c r="U183" s="766"/>
      <c r="V183" s="1384"/>
      <c r="W183" s="1384"/>
      <c r="X183" s="1384"/>
      <c r="Y183" s="1384"/>
      <c r="Z183" s="1384"/>
      <c r="AA183" s="1859"/>
      <c r="AB183" s="788"/>
      <c r="AC183" s="788"/>
      <c r="AD183" s="788"/>
      <c r="AE183" s="788"/>
    </row>
    <row s="16671" customFormat="1" customHeight="1" ht="11.25">
      <c r="A184" s="1210"/>
      <c r="B184" s="1863"/>
      <c r="C184" s="1863"/>
      <c r="D184" s="573"/>
      <c r="K184" s="1384"/>
      <c r="L184" s="1863"/>
      <c r="M184" s="1863"/>
      <c r="N184" s="1384"/>
      <c r="O184" s="1384"/>
      <c r="P184" s="1384"/>
      <c r="Q184" s="1384"/>
      <c r="R184" s="1863"/>
      <c r="S184" s="1384"/>
      <c r="T184" s="1384"/>
      <c r="U184" s="766"/>
      <c r="V184" s="1384"/>
      <c r="W184" s="1384"/>
      <c r="X184" s="1384"/>
      <c r="Y184" s="1384"/>
      <c r="Z184" s="1384"/>
      <c r="AA184" s="1859"/>
      <c r="AB184" s="788"/>
      <c r="AC184" s="788"/>
      <c r="AD184" s="788"/>
      <c r="AE184" s="788"/>
    </row>
    <row s="16671" customFormat="1" customHeight="1" ht="11.25">
      <c r="A185" s="1210"/>
      <c r="B185" s="1863"/>
      <c r="C185" s="1863"/>
      <c r="D185" s="573"/>
      <c r="K185" s="1384"/>
      <c r="L185" s="1863"/>
      <c r="M185" s="1863"/>
      <c r="N185" s="1384"/>
      <c r="O185" s="1384"/>
      <c r="P185" s="1384"/>
      <c r="Q185" s="1384"/>
      <c r="R185" s="1863"/>
      <c r="S185" s="1384"/>
      <c r="T185" s="1384"/>
      <c r="U185" s="766"/>
      <c r="V185" s="1384"/>
      <c r="W185" s="1384"/>
      <c r="X185" s="1384"/>
      <c r="Y185" s="1384"/>
      <c r="Z185" s="1384"/>
      <c r="AA185" s="1859"/>
      <c r="AB185" s="788"/>
      <c r="AC185" s="788"/>
      <c r="AD185" s="788"/>
      <c r="AE185" s="788"/>
    </row>
    <row s="16671" customFormat="1" customHeight="1" ht="11.25">
      <c r="A186" s="1210"/>
      <c r="B186" s="1863"/>
      <c r="C186" s="1863"/>
      <c r="D186" s="573"/>
      <c r="K186" s="1384"/>
      <c r="L186" s="1863"/>
      <c r="M186" s="1863"/>
      <c r="N186" s="1384"/>
      <c r="O186" s="1384"/>
      <c r="P186" s="1384"/>
      <c r="Q186" s="1384"/>
      <c r="R186" s="1863"/>
      <c r="S186" s="1384"/>
      <c r="T186" s="1384"/>
      <c r="U186" s="766"/>
      <c r="V186" s="1384"/>
      <c r="W186" s="1384"/>
      <c r="X186" s="1384"/>
      <c r="Y186" s="1384"/>
      <c r="Z186" s="1384"/>
      <c r="AA186" s="1859"/>
      <c r="AB186" s="788"/>
      <c r="AC186" s="788"/>
      <c r="AD186" s="788"/>
      <c r="AE186" s="788"/>
    </row>
    <row s="16671" customFormat="1" customHeight="1" ht="11.25">
      <c r="A187" s="1210"/>
      <c r="B187" s="1863"/>
      <c r="C187" s="1863"/>
      <c r="D187" s="573"/>
      <c r="K187" s="1384"/>
      <c r="L187" s="1863"/>
      <c r="M187" s="1863"/>
      <c r="N187" s="1384"/>
      <c r="O187" s="1384"/>
      <c r="P187" s="1384"/>
      <c r="Q187" s="1384"/>
      <c r="R187" s="1863"/>
      <c r="S187" s="1384"/>
      <c r="T187" s="1384"/>
      <c r="U187" s="766"/>
      <c r="V187" s="1384"/>
      <c r="W187" s="1384"/>
      <c r="X187" s="1384"/>
      <c r="Y187" s="1384"/>
      <c r="Z187" s="1384"/>
      <c r="AA187" s="1859"/>
      <c r="AB187" s="788"/>
      <c r="AC187" s="788"/>
      <c r="AD187" s="788"/>
      <c r="AE187" s="788"/>
    </row>
    <row s="16671" customFormat="1" customHeight="1" ht="11.25">
      <c r="A188" s="1210"/>
      <c r="B188" s="1863"/>
      <c r="C188" s="1863"/>
      <c r="D188" s="573"/>
      <c r="K188" s="1384"/>
      <c r="L188" s="1863"/>
      <c r="M188" s="1863"/>
      <c r="N188" s="1384"/>
      <c r="O188" s="1384"/>
      <c r="P188" s="1384"/>
      <c r="Q188" s="1384"/>
      <c r="R188" s="1863"/>
      <c r="S188" s="1384"/>
      <c r="T188" s="1384"/>
      <c r="U188" s="766"/>
      <c r="V188" s="1384"/>
      <c r="W188" s="1384"/>
      <c r="X188" s="1384"/>
      <c r="Y188" s="1384"/>
      <c r="Z188" s="1384"/>
      <c r="AA188" s="1859"/>
      <c r="AB188" s="788"/>
      <c r="AC188" s="788"/>
      <c r="AD188" s="788"/>
      <c r="AE188" s="788"/>
    </row>
    <row s="16671" customFormat="1" customHeight="1" ht="11.25">
      <c r="A189" s="1210"/>
      <c r="B189" s="1863"/>
      <c r="C189" s="1863"/>
      <c r="D189" s="573"/>
      <c r="K189" s="1384"/>
      <c r="L189" s="1863"/>
      <c r="M189" s="1863"/>
      <c r="N189" s="1384"/>
      <c r="O189" s="1384"/>
      <c r="P189" s="1384"/>
      <c r="Q189" s="1384"/>
      <c r="R189" s="1863"/>
      <c r="S189" s="1384"/>
      <c r="T189" s="1384"/>
      <c r="U189" s="766"/>
      <c r="V189" s="1384"/>
      <c r="W189" s="1384"/>
      <c r="X189" s="1384"/>
      <c r="Y189" s="1384"/>
      <c r="Z189" s="1384"/>
      <c r="AA189" s="1859"/>
      <c r="AB189" s="788"/>
      <c r="AC189" s="788"/>
      <c r="AD189" s="788"/>
      <c r="AE189" s="788"/>
    </row>
    <row s="16671" customFormat="1" customHeight="1" ht="11.25">
      <c r="A190" s="1210"/>
      <c r="B190" s="1863"/>
      <c r="C190" s="1863"/>
      <c r="D190" s="573"/>
      <c r="K190" s="1384"/>
      <c r="L190" s="1863"/>
      <c r="M190" s="1863"/>
      <c r="N190" s="1384"/>
      <c r="O190" s="1384"/>
      <c r="P190" s="1384"/>
      <c r="Q190" s="1384"/>
      <c r="R190" s="1863"/>
      <c r="S190" s="1384"/>
      <c r="T190" s="1384"/>
      <c r="U190" s="766"/>
      <c r="V190" s="1384"/>
      <c r="W190" s="1384"/>
      <c r="X190" s="1384"/>
      <c r="Y190" s="1384"/>
      <c r="Z190" s="1384"/>
      <c r="AA190" s="1859"/>
      <c r="AB190" s="788"/>
      <c r="AC190" s="788"/>
      <c r="AD190" s="788"/>
      <c r="AE190" s="788"/>
    </row>
    <row s="16671" customFormat="1" customHeight="1" ht="11.25">
      <c r="A191" s="1210"/>
      <c r="B191" s="1863"/>
      <c r="C191" s="1863"/>
      <c r="D191" s="573"/>
      <c r="K191" s="1384"/>
      <c r="L191" s="1863"/>
      <c r="M191" s="1863"/>
      <c r="N191" s="1384"/>
      <c r="O191" s="1384"/>
      <c r="P191" s="1384"/>
      <c r="Q191" s="1384"/>
      <c r="R191" s="1863"/>
      <c r="S191" s="1384"/>
      <c r="T191" s="1384"/>
      <c r="U191" s="766"/>
      <c r="V191" s="1384"/>
      <c r="W191" s="1384"/>
      <c r="X191" s="1384"/>
      <c r="Y191" s="1384"/>
      <c r="Z191" s="1384"/>
      <c r="AA191" s="1859"/>
      <c r="AB191" s="788"/>
      <c r="AC191" s="788"/>
      <c r="AD191" s="788"/>
      <c r="AE191" s="788"/>
    </row>
    <row s="16671" customFormat="1" customHeight="1" ht="11.25">
      <c r="A192" s="1210"/>
      <c r="B192" s="1863"/>
      <c r="C192" s="1863"/>
      <c r="D192" s="573"/>
      <c r="K192" s="1384"/>
      <c r="L192" s="1863"/>
      <c r="M192" s="1863"/>
      <c r="N192" s="1384"/>
      <c r="O192" s="1384"/>
      <c r="P192" s="1384"/>
      <c r="Q192" s="1384"/>
      <c r="R192" s="1863"/>
      <c r="S192" s="1384"/>
      <c r="T192" s="1384"/>
      <c r="U192" s="766"/>
      <c r="V192" s="1384"/>
      <c r="W192" s="1384"/>
      <c r="X192" s="1384"/>
      <c r="Y192" s="1384"/>
      <c r="Z192" s="1384"/>
      <c r="AA192" s="1859"/>
      <c r="AB192" s="788"/>
      <c r="AC192" s="788"/>
      <c r="AD192" s="788"/>
      <c r="AE192" s="788"/>
    </row>
    <row s="16671" customFormat="1" customHeight="1" ht="11.25">
      <c r="A193" s="1210"/>
      <c r="B193" s="1863"/>
      <c r="C193" s="1863"/>
      <c r="D193" s="573"/>
      <c r="K193" s="1384"/>
      <c r="L193" s="1863"/>
      <c r="M193" s="1863"/>
      <c r="N193" s="1384"/>
      <c r="O193" s="1384"/>
      <c r="P193" s="1384"/>
      <c r="Q193" s="1384"/>
      <c r="R193" s="1863"/>
      <c r="S193" s="1384"/>
      <c r="T193" s="1384"/>
      <c r="U193" s="766"/>
      <c r="V193" s="1384"/>
      <c r="W193" s="1384"/>
      <c r="X193" s="1384"/>
      <c r="Y193" s="1384"/>
      <c r="Z193" s="1384"/>
      <c r="AA193" s="1859"/>
      <c r="AB193" s="788"/>
      <c r="AC193" s="788"/>
      <c r="AD193" s="788"/>
      <c r="AE193" s="788"/>
    </row>
    <row s="16671" customFormat="1" customHeight="1" ht="11.25">
      <c r="A194" s="1210"/>
      <c r="B194" s="1863"/>
      <c r="C194" s="1863"/>
      <c r="D194" s="573"/>
      <c r="K194" s="1384"/>
      <c r="L194" s="1863"/>
      <c r="M194" s="1863"/>
      <c r="N194" s="1384"/>
      <c r="O194" s="1384"/>
      <c r="P194" s="1384"/>
      <c r="Q194" s="1384"/>
      <c r="R194" s="1863"/>
      <c r="S194" s="1384"/>
      <c r="T194" s="1384"/>
      <c r="U194" s="766"/>
      <c r="V194" s="1384"/>
      <c r="W194" s="1384"/>
      <c r="X194" s="1384"/>
      <c r="Y194" s="1384"/>
      <c r="Z194" s="1384"/>
      <c r="AA194" s="1859"/>
      <c r="AB194" s="788"/>
      <c r="AC194" s="788"/>
      <c r="AD194" s="788"/>
      <c r="AE194" s="788"/>
    </row>
    <row s="16671" customFormat="1" customHeight="1" ht="11.25">
      <c r="A195" s="1210"/>
      <c r="B195" s="1863"/>
      <c r="C195" s="1863"/>
      <c r="D195" s="573"/>
      <c r="K195" s="1384"/>
      <c r="L195" s="1863"/>
      <c r="M195" s="1863"/>
      <c r="N195" s="1384"/>
      <c r="O195" s="1384"/>
      <c r="P195" s="1384"/>
      <c r="Q195" s="1384"/>
      <c r="R195" s="1863"/>
      <c r="S195" s="1384"/>
      <c r="T195" s="1384"/>
      <c r="U195" s="766"/>
      <c r="V195" s="1384"/>
      <c r="W195" s="1384"/>
      <c r="X195" s="1384"/>
      <c r="Y195" s="1384"/>
      <c r="Z195" s="1384"/>
      <c r="AA195" s="1859"/>
      <c r="AB195" s="788"/>
      <c r="AC195" s="788"/>
      <c r="AD195" s="788"/>
      <c r="AE195" s="788"/>
    </row>
    <row r="199" customHeight="1" ht="11.25">
      <c r="A199" s="1213"/>
      <c r="B199" s="1858"/>
      <c r="D199" s="1858"/>
      <c r="K199" s="1858"/>
      <c r="N199" s="1858"/>
      <c r="O199" s="1858"/>
      <c r="P199" s="1858"/>
      <c r="Q199" s="1858"/>
      <c r="S199" s="1858"/>
      <c r="T199" s="1858"/>
      <c r="U199" s="1858"/>
      <c r="V199" s="1858"/>
      <c r="W199" s="1858"/>
      <c r="X199" s="1858"/>
      <c r="Y199" s="1858"/>
      <c r="Z199" s="1858"/>
      <c r="AA199" s="1858"/>
      <c r="AB199" s="1858"/>
      <c r="AC199" s="1858"/>
      <c r="AD199" s="1858"/>
      <c r="AE199" s="1858"/>
    </row>
    <row customHeight="1" ht="11.25">
      <c r="A200" s="1213"/>
      <c r="B200" s="1858"/>
      <c r="D200" s="1858"/>
      <c r="K200" s="1858"/>
      <c r="N200" s="1858"/>
      <c r="O200" s="1858"/>
      <c r="P200" s="1858"/>
      <c r="Q200" s="1858"/>
      <c r="S200" s="1858"/>
      <c r="T200" s="1858"/>
      <c r="U200" s="1858"/>
      <c r="V200" s="1858"/>
      <c r="W200" s="1858"/>
      <c r="X200" s="1858"/>
      <c r="Y200" s="1858"/>
      <c r="Z200" s="1858"/>
      <c r="AA200" s="1858"/>
      <c r="AB200" s="1858"/>
      <c r="AC200" s="1858"/>
      <c r="AD200" s="1858"/>
      <c r="AE200" s="1858"/>
    </row>
    <row customHeight="1" ht="11.25">
      <c r="A201" s="1213"/>
      <c r="B201" s="1858"/>
      <c r="D201" s="1858"/>
      <c r="K201" s="1858"/>
      <c r="N201" s="1858"/>
      <c r="O201" s="1858"/>
      <c r="P201" s="1858"/>
      <c r="Q201" s="1858"/>
      <c r="S201" s="1858"/>
      <c r="T201" s="1858"/>
      <c r="U201" s="1858"/>
      <c r="V201" s="1858"/>
      <c r="W201" s="1858"/>
      <c r="X201" s="1858"/>
      <c r="Y201" s="1858"/>
      <c r="Z201" s="1858"/>
      <c r="AA201" s="1858"/>
      <c r="AB201" s="1858"/>
      <c r="AC201" s="1858"/>
      <c r="AD201" s="1858"/>
      <c r="AE201" s="1858"/>
    </row>
    <row customHeight="1" ht="11.25">
      <c r="A202" s="1213"/>
      <c r="B202" s="1858"/>
      <c r="D202" s="1858"/>
      <c r="K202" s="1858"/>
      <c r="N202" s="1858"/>
      <c r="O202" s="1858"/>
      <c r="P202" s="1858"/>
      <c r="Q202" s="1858"/>
      <c r="S202" s="1858"/>
      <c r="T202" s="1858"/>
      <c r="U202" s="1858"/>
      <c r="V202" s="1858"/>
      <c r="W202" s="1858"/>
      <c r="X202" s="1858"/>
      <c r="Y202" s="1858"/>
      <c r="Z202" s="1858"/>
      <c r="AA202" s="1858"/>
      <c r="AB202" s="1858"/>
      <c r="AC202" s="1858"/>
      <c r="AD202" s="1858"/>
      <c r="AE202" s="1858"/>
    </row>
    <row customHeight="1" ht="11.25">
      <c r="A203" s="1213"/>
      <c r="B203" s="1858"/>
      <c r="D203" s="1858"/>
      <c r="K203" s="1858"/>
      <c r="N203" s="1858"/>
      <c r="O203" s="1858"/>
      <c r="P203" s="1858"/>
      <c r="Q203" s="1858"/>
      <c r="S203" s="1858"/>
      <c r="T203" s="1858"/>
      <c r="U203" s="1858"/>
      <c r="V203" s="1858"/>
      <c r="W203" s="1858"/>
      <c r="X203" s="1858"/>
      <c r="Y203" s="1858"/>
      <c r="Z203" s="1858"/>
      <c r="AA203" s="1858"/>
      <c r="AB203" s="1858"/>
      <c r="AC203" s="1858"/>
      <c r="AD203" s="1858"/>
      <c r="AE203" s="1858"/>
    </row>
    <row customHeight="1" ht="11.25">
      <c r="A204" s="1213"/>
      <c r="B204" s="1858"/>
      <c r="D204" s="1858"/>
      <c r="K204" s="1858"/>
      <c r="N204" s="1858"/>
      <c r="O204" s="1858"/>
      <c r="P204" s="1858"/>
      <c r="Q204" s="1858"/>
      <c r="S204" s="1858"/>
      <c r="T204" s="1858"/>
      <c r="U204" s="1858"/>
      <c r="V204" s="1858"/>
      <c r="W204" s="1858"/>
      <c r="X204" s="1858"/>
      <c r="Y204" s="1858"/>
      <c r="Z204" s="1858"/>
      <c r="AA204" s="1858"/>
      <c r="AB204" s="1858"/>
      <c r="AC204" s="1858"/>
      <c r="AD204" s="1858"/>
      <c r="AE204" s="1858"/>
    </row>
    <row customHeight="1" ht="11.25">
      <c r="A205" s="1213"/>
      <c r="B205" s="1858"/>
      <c r="D205" s="1858"/>
      <c r="K205" s="1858"/>
      <c r="N205" s="1858"/>
      <c r="O205" s="1858"/>
      <c r="P205" s="1858"/>
      <c r="Q205" s="1858"/>
      <c r="S205" s="1858"/>
      <c r="T205" s="1858"/>
      <c r="U205" s="1858"/>
      <c r="V205" s="1858"/>
      <c r="W205" s="1858"/>
      <c r="X205" s="1858"/>
      <c r="Y205" s="1858"/>
      <c r="Z205" s="1858"/>
      <c r="AA205" s="1858"/>
      <c r="AB205" s="1858"/>
      <c r="AC205" s="1858"/>
      <c r="AD205" s="1858"/>
      <c r="AE205" s="1858"/>
    </row>
    <row customHeight="1" ht="11.25">
      <c r="A206" s="1213"/>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row>
    <row customHeight="1" ht="11.25">
      <c r="A207" s="1213"/>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row>
    <row customHeight="1" ht="11.25">
      <c r="A208" s="1213"/>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row>
    <row customHeight="1" ht="11.25">
      <c r="A209" s="1213"/>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A5BAD2-D43D-7BE5-8A6C-5579332C131C}"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21993" width="9.140625" hidden="1" customWidth="1"/>
    <col min="2" max="2" style="16622" width="3.57421875" hidden="1" customWidth="1"/>
    <col min="3" max="3" style="16406" width="3.7109375" customWidth="1"/>
    <col min="4" max="4" style="16406" width="7.7109375" customWidth="1"/>
    <col min="5" max="5" style="16406" width="69.8515625" customWidth="1"/>
    <col min="6" max="6" style="16406" width="11.140625" customWidth="1"/>
    <col min="7" max="8" style="16406" width="44.00390625" hidden="1" customWidth="1"/>
    <col min="9" max="10" style="15861" width="44.00390625" customWidth="1"/>
    <col min="11" max="11" style="16406" width="74.00390625" customWidth="1"/>
    <col min="12" max="12" style="16406" width="3.7109375" customWidth="1"/>
    <col min="13" max="23" style="16406" width="10.57421875"/>
  </cols>
  <sheetData>
    <row s="15862" customFormat="1" customHeight="1" ht="11.25" hidden="1">
      <c r="A1" s="758"/>
      <c r="B1" s="733"/>
      <c r="G1" s="639">
        <v>4</v>
      </c>
      <c r="I1" s="639">
        <v>4</v>
      </c>
      <c r="K1" s="639">
        <v>5</v>
      </c>
    </row>
    <row customHeight="1" ht="3"/>
    <row customHeight="1" ht="75">
      <c r="D3" s="237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73"/>
      <c r="F3" s="2374"/>
    </row>
    <row s="15861" customFormat="1" customHeight="1" ht="20.25">
      <c r="A4" s="1174"/>
      <c r="B4" s="733"/>
      <c r="D4" s="2360" t="str">
        <f>IF(org=0,"Не определено",org)</f>
        <v>КГУП "Примтеплоэнерго"</v>
      </c>
      <c r="E4" s="2361"/>
      <c r="F4" s="2362"/>
    </row>
    <row customHeight="1" ht="11.25">
      <c r="C5" s="731"/>
      <c r="D5" s="810"/>
      <c r="E5" s="810"/>
      <c r="F5" s="810"/>
      <c r="G5" s="810"/>
      <c r="H5" s="974"/>
      <c r="I5" s="810"/>
      <c r="J5" s="974"/>
      <c r="K5" s="810"/>
    </row>
    <row customHeight="1" ht="0.75">
      <c r="C6" s="731"/>
      <c r="D6" s="731"/>
      <c r="E6" s="744"/>
      <c r="F6" s="836"/>
      <c r="G6" s="1245"/>
      <c r="H6" s="1245"/>
      <c r="I6" s="1245" t="s">
        <v>173</v>
      </c>
      <c r="J6" s="1245"/>
    </row>
    <row customHeight="1" ht="11.25">
      <c r="D7" s="933"/>
      <c r="E7" s="2497" t="s">
        <v>164</v>
      </c>
      <c r="F7" s="2498"/>
      <c r="G7" s="2514" t="str">
        <f>IF(G6="","",INDEX(DIFFERENTIATION_UNMERGE_VD,MATCH(G6,DIFFERENTIATION_ID_DIFF,0)))</f>
        <v/>
      </c>
      <c r="H7" s="2515"/>
      <c r="I7" s="2514">
        <f>IF(I6="","",INDEX(DIFFERENTIATION_UNMERGE_VD,MATCH(I6,DIFFERENTIATION_ID_DIFF,0)))</f>
        <v>0</v>
      </c>
      <c r="J7" s="2515"/>
      <c r="K7" s="2310"/>
      <c r="L7" s="731"/>
    </row>
    <row customHeight="1" ht="11.25">
      <c r="A8" s="926"/>
      <c r="D8" s="933"/>
      <c r="E8" s="2497" t="s">
        <v>670</v>
      </c>
      <c r="F8" s="2498"/>
      <c r="G8" s="2514" t="str">
        <f>IF(G6="","",INDEX(DIFFERENTIATION_UNMERGE_AREA,MATCH(G6,DIFFERENTIATION_ID_DIFF,0)))</f>
        <v/>
      </c>
      <c r="H8" s="2515"/>
      <c r="I8" s="2514" t="str">
        <f>IF(I6="","",INDEX(DIFFERENTIATION_UNMERGE_AREA,MATCH(I6,DIFFERENTIATION_ID_DIFF,0)))</f>
        <v/>
      </c>
      <c r="J8" s="2515"/>
      <c r="K8" s="2318"/>
      <c r="L8" s="731"/>
    </row>
    <row customHeight="1" ht="11.25">
      <c r="A9" s="926"/>
      <c r="D9" s="933"/>
      <c r="E9" s="2497" t="s">
        <v>671</v>
      </c>
      <c r="F9" s="2498"/>
      <c r="G9" s="2514" t="str">
        <f>IF(G6="","",INDEX(DIFFERENTIATION_UNMERGE_SYSTEM,MATCH(G6,DIFFERENTIATION_ID_DIFF,0)))</f>
        <v/>
      </c>
      <c r="H9" s="2515"/>
      <c r="I9" s="2514" t="str">
        <f>IF(I6="","",INDEX(DIFFERENTIATION_UNMERGE_SYSTEM,MATCH(I6,DIFFERENTIATION_ID_DIFF,0)))</f>
        <v>без дифференциации</v>
      </c>
      <c r="J9" s="2515"/>
      <c r="K9" s="2318"/>
      <c r="L9" s="731"/>
    </row>
    <row s="15861" customFormat="1" customHeight="1" ht="11.25">
      <c r="A10" s="1244"/>
      <c r="B10" s="733"/>
      <c r="D10" s="2237" t="s">
        <v>406</v>
      </c>
      <c r="E10" s="2238"/>
      <c r="F10" s="2238"/>
      <c r="G10" s="2238"/>
      <c r="H10" s="2238"/>
      <c r="I10" s="2238"/>
      <c r="J10" s="2239"/>
      <c r="K10" s="2318"/>
      <c r="L10" s="731"/>
    </row>
    <row s="21835" customFormat="1" customHeight="1" ht="22.5">
      <c r="A11" s="2517"/>
      <c r="B11" s="2517"/>
      <c r="C11" s="879"/>
      <c r="D11" s="925" t="s">
        <v>84</v>
      </c>
      <c r="E11" s="927" t="s">
        <v>827</v>
      </c>
      <c r="F11" s="927" t="s">
        <v>672</v>
      </c>
      <c r="G11" s="687" t="s">
        <v>409</v>
      </c>
      <c r="H11" s="687" t="s">
        <v>496</v>
      </c>
      <c r="I11" s="1029" t="s">
        <v>409</v>
      </c>
      <c r="J11" s="1030" t="s">
        <v>496</v>
      </c>
      <c r="K11" s="2371"/>
      <c r="L11" s="880"/>
    </row>
    <row s="16622" customFormat="1" customHeight="1" ht="10.5">
      <c r="A12" s="1175"/>
      <c r="D12" s="1248" t="s">
        <v>168</v>
      </c>
      <c r="E12" s="1248" t="s">
        <v>99</v>
      </c>
      <c r="F12" s="1248" t="s">
        <v>86</v>
      </c>
      <c r="G12" s="1249" t="str">
        <f>G1&amp;".1"</f>
        <v>4.1</v>
      </c>
      <c r="H12" s="1249" t="str">
        <f>G1&amp;".2"</f>
        <v>4.2</v>
      </c>
      <c r="I12" s="1249" t="str">
        <f>I1&amp;".1"</f>
        <v>4.1</v>
      </c>
      <c r="J12" s="1249" t="str">
        <f>I1&amp;".2"</f>
        <v>4.2</v>
      </c>
      <c r="K12" s="1249"/>
    </row>
    <row customHeight="1" ht="22.5" hidden="1">
      <c r="A13" s="2516" t="s">
        <v>828</v>
      </c>
      <c r="D13" s="1176" t="s">
        <v>168</v>
      </c>
      <c r="E13" s="501" t="s">
        <v>829</v>
      </c>
      <c r="F13" s="882" t="s">
        <v>830</v>
      </c>
      <c r="G13" s="779"/>
      <c r="H13" s="883"/>
      <c r="I13" s="779"/>
      <c r="J13" s="883"/>
      <c r="K13" s="511" t="s">
        <v>831</v>
      </c>
      <c r="L13" s="942"/>
    </row>
    <row customHeight="1" ht="22.5" hidden="1">
      <c r="A14" s="2516"/>
      <c r="D14" s="761" t="s">
        <v>99</v>
      </c>
      <c r="E14" s="501" t="s">
        <v>832</v>
      </c>
      <c r="F14" s="882" t="s">
        <v>833</v>
      </c>
      <c r="G14" s="779"/>
      <c r="H14" s="884"/>
      <c r="I14" s="779"/>
      <c r="J14" s="884"/>
      <c r="K14" s="511" t="s">
        <v>834</v>
      </c>
      <c r="L14" s="942"/>
    </row>
    <row s="15861" customFormat="1" customHeight="1" ht="78.75" hidden="1">
      <c r="A15" s="2516"/>
      <c r="B15" s="733"/>
      <c r="D15" s="1176" t="s">
        <v>86</v>
      </c>
      <c r="E15" s="929" t="s">
        <v>835</v>
      </c>
      <c r="F15" s="1173" t="s">
        <v>412</v>
      </c>
      <c r="G15" s="1173" t="s">
        <v>412</v>
      </c>
      <c r="H15" s="329"/>
      <c r="I15" s="1173" t="s">
        <v>412</v>
      </c>
      <c r="J15" s="329"/>
      <c r="K15" s="511" t="s">
        <v>836</v>
      </c>
      <c r="L15" s="942"/>
    </row>
    <row s="15861" customFormat="1" customHeight="1" ht="22.5" hidden="1">
      <c r="A16" s="2516"/>
      <c r="B16" s="733"/>
      <c r="D16" s="1176" t="s">
        <v>430</v>
      </c>
      <c r="E16" s="1177" t="s">
        <v>837</v>
      </c>
      <c r="F16" s="1173" t="s">
        <v>838</v>
      </c>
      <c r="G16" s="1039"/>
      <c r="H16" s="329"/>
      <c r="I16" s="1039"/>
      <c r="J16" s="329"/>
      <c r="K16" s="511"/>
      <c r="L16" s="942"/>
    </row>
    <row s="15861" customFormat="1" customHeight="1" ht="22.5" hidden="1">
      <c r="A17" s="2516"/>
      <c r="B17" s="733"/>
      <c r="D17" s="1176" t="s">
        <v>438</v>
      </c>
      <c r="E17" s="1177" t="s">
        <v>839</v>
      </c>
      <c r="F17" s="1173" t="s">
        <v>840</v>
      </c>
      <c r="G17" s="1039"/>
      <c r="H17" s="329"/>
      <c r="I17" s="1039"/>
      <c r="J17" s="329"/>
      <c r="K17" s="511"/>
      <c r="L17" s="942"/>
    </row>
    <row s="15861" customFormat="1" customHeight="1" ht="33.75" hidden="1">
      <c r="A18" s="2516"/>
      <c r="B18" s="733"/>
      <c r="D18" s="1176" t="s">
        <v>440</v>
      </c>
      <c r="E18" s="1177" t="s">
        <v>841</v>
      </c>
      <c r="F18" s="1173" t="s">
        <v>677</v>
      </c>
      <c r="G18" s="902"/>
      <c r="H18" s="329"/>
      <c r="I18" s="902"/>
      <c r="J18" s="329"/>
      <c r="K18" s="511"/>
      <c r="L18" s="942"/>
    </row>
    <row customHeight="1" ht="101.25" hidden="1">
      <c r="A19" s="2516"/>
      <c r="D19" s="1176" t="s">
        <v>87</v>
      </c>
      <c r="E19" s="501" t="s">
        <v>842</v>
      </c>
      <c r="F19" s="882" t="s">
        <v>652</v>
      </c>
      <c r="G19" s="885"/>
      <c r="H19" s="884"/>
      <c r="I19" s="1178"/>
      <c r="J19" s="884"/>
      <c r="K19" s="511" t="s">
        <v>843</v>
      </c>
      <c r="L19" s="942"/>
    </row>
    <row s="15861" customFormat="1" customHeight="1" ht="18.75" hidden="1">
      <c r="A20" s="2516"/>
      <c r="C20" s="1179"/>
      <c r="D20" s="1176" t="s">
        <v>773</v>
      </c>
      <c r="E20" s="1177" t="s">
        <v>844</v>
      </c>
      <c r="F20" s="1173" t="s">
        <v>412</v>
      </c>
      <c r="G20" s="1173" t="s">
        <v>412</v>
      </c>
      <c r="H20" s="1172" t="s">
        <v>412</v>
      </c>
      <c r="I20" s="1173" t="s">
        <v>412</v>
      </c>
      <c r="J20" s="1172" t="s">
        <v>412</v>
      </c>
      <c r="K20" s="1171"/>
      <c r="L20" s="942"/>
      <c r="W20" s="897"/>
    </row>
    <row s="15861" customFormat="1" customHeight="1" ht="33.75" hidden="1">
      <c r="A21" s="2516"/>
      <c r="C21" s="1179"/>
      <c r="D21" s="1176" t="s">
        <v>776</v>
      </c>
      <c r="E21" s="798" t="s">
        <v>845</v>
      </c>
      <c r="F21" s="1173" t="s">
        <v>846</v>
      </c>
      <c r="G21" s="1165"/>
      <c r="H21" s="329"/>
      <c r="I21" s="1165"/>
      <c r="J21" s="329"/>
      <c r="K21" s="1171"/>
      <c r="L21" s="942"/>
      <c r="W21" s="897"/>
    </row>
    <row s="15861" customFormat="1" customHeight="1" ht="33.75" hidden="1">
      <c r="A22" s="2516"/>
      <c r="C22" s="1179"/>
      <c r="D22" s="1176" t="s">
        <v>779</v>
      </c>
      <c r="E22" s="798" t="s">
        <v>847</v>
      </c>
      <c r="F22" s="1173" t="s">
        <v>848</v>
      </c>
      <c r="G22" s="1165"/>
      <c r="H22" s="329"/>
      <c r="I22" s="1165"/>
      <c r="J22" s="329"/>
      <c r="K22" s="1171"/>
      <c r="L22" s="942"/>
      <c r="W22" s="897"/>
    </row>
    <row s="15861" customFormat="1" customHeight="1" ht="22.5" hidden="1">
      <c r="A23" s="2516"/>
      <c r="C23" s="1179"/>
      <c r="D23" s="1176" t="s">
        <v>816</v>
      </c>
      <c r="E23" s="1177" t="s">
        <v>849</v>
      </c>
      <c r="F23" s="1173" t="s">
        <v>412</v>
      </c>
      <c r="G23" s="1173" t="s">
        <v>412</v>
      </c>
      <c r="H23" s="1172" t="s">
        <v>412</v>
      </c>
      <c r="I23" s="1173" t="s">
        <v>412</v>
      </c>
      <c r="J23" s="1172" t="s">
        <v>412</v>
      </c>
      <c r="K23" s="1171"/>
      <c r="L23" s="942"/>
      <c r="W23" s="897"/>
    </row>
    <row s="15861" customFormat="1" customHeight="1" ht="22.5" hidden="1">
      <c r="A24" s="2516"/>
      <c r="C24" s="1179"/>
      <c r="D24" s="1176" t="s">
        <v>850</v>
      </c>
      <c r="E24" s="798" t="s">
        <v>851</v>
      </c>
      <c r="F24" s="1173" t="s">
        <v>852</v>
      </c>
      <c r="G24" s="1165"/>
      <c r="H24" s="908"/>
      <c r="I24" s="1165"/>
      <c r="J24" s="908"/>
      <c r="K24" s="1171"/>
      <c r="L24" s="942"/>
      <c r="W24" s="897"/>
    </row>
    <row s="15861" customFormat="1" customHeight="1" ht="22.5" hidden="1">
      <c r="A25" s="2516"/>
      <c r="C25" s="1179"/>
      <c r="D25" s="1176" t="s">
        <v>853</v>
      </c>
      <c r="E25" s="798" t="s">
        <v>854</v>
      </c>
      <c r="F25" s="1173" t="s">
        <v>412</v>
      </c>
      <c r="G25" s="1173" t="s">
        <v>412</v>
      </c>
      <c r="H25" s="1172" t="s">
        <v>412</v>
      </c>
      <c r="I25" s="1173" t="s">
        <v>412</v>
      </c>
      <c r="J25" s="1172" t="s">
        <v>412</v>
      </c>
      <c r="K25" s="1171"/>
      <c r="L25" s="942"/>
      <c r="W25" s="897"/>
    </row>
    <row s="15861" customFormat="1" customHeight="1" ht="18.75" hidden="1">
      <c r="A26" s="2516"/>
      <c r="C26" s="1179"/>
      <c r="D26" s="1176" t="s">
        <v>855</v>
      </c>
      <c r="E26" s="775" t="s">
        <v>856</v>
      </c>
      <c r="F26" s="1173" t="s">
        <v>857</v>
      </c>
      <c r="G26" s="902"/>
      <c r="H26" s="908"/>
      <c r="I26" s="902"/>
      <c r="J26" s="908"/>
      <c r="K26" s="1171"/>
      <c r="L26" s="942"/>
      <c r="W26" s="897"/>
    </row>
    <row s="15861" customFormat="1" customHeight="1" ht="18.75" hidden="1">
      <c r="A27" s="2516"/>
      <c r="C27" s="1179"/>
      <c r="D27" s="1176" t="s">
        <v>858</v>
      </c>
      <c r="E27" s="775" t="s">
        <v>859</v>
      </c>
      <c r="F27" s="1173" t="s">
        <v>860</v>
      </c>
      <c r="G27" s="902"/>
      <c r="H27" s="908"/>
      <c r="I27" s="902"/>
      <c r="J27" s="908"/>
      <c r="K27" s="1171"/>
      <c r="L27" s="942"/>
      <c r="W27" s="897"/>
    </row>
    <row s="15861" customFormat="1" customHeight="1" ht="18.75" hidden="1">
      <c r="A28" s="2516"/>
      <c r="C28" s="1179"/>
      <c r="D28" s="1176" t="s">
        <v>861</v>
      </c>
      <c r="E28" s="798" t="s">
        <v>862</v>
      </c>
      <c r="F28" s="1173" t="s">
        <v>412</v>
      </c>
      <c r="G28" s="1173" t="s">
        <v>412</v>
      </c>
      <c r="H28" s="1172" t="s">
        <v>412</v>
      </c>
      <c r="I28" s="1173" t="s">
        <v>412</v>
      </c>
      <c r="J28" s="1172" t="s">
        <v>412</v>
      </c>
      <c r="K28" s="1171"/>
      <c r="L28" s="942"/>
      <c r="W28" s="897"/>
    </row>
    <row s="15861" customFormat="1" customHeight="1" ht="18.75" hidden="1">
      <c r="A29" s="2516"/>
      <c r="C29" s="1179"/>
      <c r="D29" s="1176" t="s">
        <v>863</v>
      </c>
      <c r="E29" s="775" t="s">
        <v>856</v>
      </c>
      <c r="F29" s="1173" t="s">
        <v>864</v>
      </c>
      <c r="G29" s="902"/>
      <c r="H29" s="908"/>
      <c r="I29" s="902"/>
      <c r="J29" s="908"/>
      <c r="K29" s="1171"/>
      <c r="L29" s="942"/>
      <c r="W29" s="897"/>
    </row>
    <row s="15861" customFormat="1" customHeight="1" ht="18.75" hidden="1">
      <c r="A30" s="2516"/>
      <c r="C30" s="1179"/>
      <c r="D30" s="1176" t="s">
        <v>865</v>
      </c>
      <c r="E30" s="775" t="s">
        <v>866</v>
      </c>
      <c r="F30" s="1173" t="s">
        <v>867</v>
      </c>
      <c r="G30" s="902"/>
      <c r="H30" s="908"/>
      <c r="I30" s="902"/>
      <c r="J30" s="908"/>
      <c r="K30" s="1171"/>
      <c r="L30" s="942"/>
      <c r="W30" s="897"/>
    </row>
    <row customHeight="1" ht="126.75" hidden="1">
      <c r="A31" s="2516"/>
      <c r="D31" s="1176" t="s">
        <v>113</v>
      </c>
      <c r="E31" s="501" t="s">
        <v>868</v>
      </c>
      <c r="F31" s="882" t="s">
        <v>664</v>
      </c>
      <c r="G31" s="779"/>
      <c r="H31" s="884"/>
      <c r="I31" s="779"/>
      <c r="J31" s="884"/>
      <c r="K31" s="511" t="s">
        <v>869</v>
      </c>
      <c r="L31" s="942"/>
    </row>
    <row customHeight="1" ht="56.25" hidden="1">
      <c r="A32" s="2516"/>
      <c r="D32" s="1176" t="s">
        <v>88</v>
      </c>
      <c r="E32" s="501" t="s">
        <v>870</v>
      </c>
      <c r="F32" s="761" t="s">
        <v>840</v>
      </c>
      <c r="G32" s="779"/>
      <c r="H32" s="884"/>
      <c r="I32" s="779"/>
      <c r="J32" s="884"/>
      <c r="K32" s="511" t="s">
        <v>871</v>
      </c>
      <c r="L32" s="942"/>
    </row>
    <row customHeight="1" ht="11.25" hidden="1">
      <c r="A33" s="2516"/>
      <c r="E33" s="886"/>
      <c r="F33" s="404"/>
      <c r="G33" s="404"/>
      <c r="H33" s="404"/>
      <c r="I33" s="404"/>
      <c r="J33" s="404"/>
      <c r="K33" s="404"/>
    </row>
    <row customHeight="1" ht="12.75" hidden="1">
      <c r="A34" s="2516"/>
      <c r="D34" s="287">
        <v>1</v>
      </c>
      <c r="E34" s="557" t="s">
        <v>872</v>
      </c>
    </row>
    <row customHeight="1" ht="11.25" hidden="1">
      <c r="A35" s="2516"/>
      <c r="D35" s="591"/>
      <c r="E35" s="557" t="s">
        <v>873</v>
      </c>
    </row>
    <row s="21835" customFormat="1" customHeight="1" ht="11.25">
      <c r="A36" s="1256"/>
      <c r="B36" s="740"/>
      <c r="D36" s="1257"/>
      <c r="E36" s="1258"/>
    </row>
    <row s="15861" customFormat="1" customHeight="1" ht="22.5" hidden="1">
      <c r="A37" s="2516" t="s">
        <v>874</v>
      </c>
      <c r="B37" s="733"/>
      <c r="D37" s="1176">
        <v>1</v>
      </c>
      <c r="E37" s="929" t="s">
        <v>875</v>
      </c>
      <c r="F37" s="882" t="s">
        <v>830</v>
      </c>
      <c r="G37" s="779"/>
      <c r="H37" s="741"/>
      <c r="I37" s="779"/>
      <c r="J37" s="741"/>
      <c r="K37" s="511" t="s">
        <v>876</v>
      </c>
    </row>
    <row s="15861" customFormat="1" customHeight="1" ht="22.5" hidden="1">
      <c r="A38" s="2516"/>
      <c r="B38" s="733"/>
      <c r="D38" s="891" t="s">
        <v>99</v>
      </c>
      <c r="E38" s="1255" t="s">
        <v>877</v>
      </c>
      <c r="F38" s="1259" t="s">
        <v>652</v>
      </c>
      <c r="G38" s="1259" t="s">
        <v>652</v>
      </c>
      <c r="H38" s="1253"/>
      <c r="I38" s="1259" t="s">
        <v>652</v>
      </c>
      <c r="J38" s="1253"/>
      <c r="K38" s="1254"/>
    </row>
    <row s="15861" customFormat="1" customHeight="1" ht="33.75" hidden="1">
      <c r="A39" s="2516"/>
      <c r="B39" s="733"/>
      <c r="D39" s="887" t="s">
        <v>731</v>
      </c>
      <c r="E39" s="945" t="s">
        <v>878</v>
      </c>
      <c r="F39" s="882" t="s">
        <v>879</v>
      </c>
      <c r="G39" s="890"/>
      <c r="H39" s="1246"/>
      <c r="I39" s="890"/>
      <c r="J39" s="1246"/>
      <c r="K39" s="511" t="s">
        <v>880</v>
      </c>
    </row>
    <row s="15861" customFormat="1" customHeight="1" ht="33.75" hidden="1">
      <c r="A40" s="2516"/>
      <c r="B40" s="733"/>
      <c r="D40" s="887" t="s">
        <v>734</v>
      </c>
      <c r="E40" s="945" t="s">
        <v>881</v>
      </c>
      <c r="F40" s="1250" t="s">
        <v>882</v>
      </c>
      <c r="G40" s="963"/>
      <c r="H40" s="1246"/>
      <c r="I40" s="963"/>
      <c r="J40" s="1246"/>
      <c r="K40" s="511" t="s">
        <v>883</v>
      </c>
    </row>
    <row s="15861" customFormat="1" customHeight="1" ht="22.5" hidden="1">
      <c r="A41" s="2516"/>
      <c r="B41" s="733"/>
      <c r="D41" s="887" t="s">
        <v>86</v>
      </c>
      <c r="E41" s="944" t="s">
        <v>884</v>
      </c>
      <c r="F41" s="882" t="s">
        <v>652</v>
      </c>
      <c r="G41" s="882" t="s">
        <v>652</v>
      </c>
      <c r="H41" s="1247"/>
      <c r="I41" s="882" t="s">
        <v>652</v>
      </c>
      <c r="J41" s="1247"/>
      <c r="K41" s="524"/>
    </row>
    <row s="15861" customFormat="1" customHeight="1" ht="45" hidden="1">
      <c r="A42" s="2516"/>
      <c r="B42" s="733"/>
      <c r="D42" s="887" t="s">
        <v>430</v>
      </c>
      <c r="E42" s="945" t="s">
        <v>885</v>
      </c>
      <c r="F42" s="882" t="s">
        <v>664</v>
      </c>
      <c r="G42" s="779"/>
      <c r="H42" s="1247"/>
      <c r="I42" s="779"/>
      <c r="J42" s="1247"/>
      <c r="K42" s="524" t="s">
        <v>886</v>
      </c>
    </row>
    <row s="15861" customFormat="1" customHeight="1" ht="45" hidden="1">
      <c r="A43" s="2516"/>
      <c r="B43" s="733"/>
      <c r="D43" s="887" t="s">
        <v>438</v>
      </c>
      <c r="E43" s="889" t="s">
        <v>887</v>
      </c>
      <c r="F43" s="1251" t="s">
        <v>664</v>
      </c>
      <c r="G43" s="964"/>
      <c r="H43" s="1246"/>
      <c r="I43" s="964"/>
      <c r="J43" s="1246"/>
      <c r="K43" s="524" t="s">
        <v>888</v>
      </c>
    </row>
    <row s="15861" customFormat="1" customHeight="1" ht="11.25" hidden="1">
      <c r="A44" s="2516"/>
      <c r="B44" s="733"/>
      <c r="D44" s="887" t="s">
        <v>87</v>
      </c>
      <c r="E44" s="888" t="s">
        <v>889</v>
      </c>
      <c r="F44" s="882" t="s">
        <v>879</v>
      </c>
      <c r="G44" s="890"/>
      <c r="H44" s="1246"/>
      <c r="I44" s="890"/>
      <c r="J44" s="1246"/>
      <c r="K44" s="511"/>
    </row>
    <row s="15861" customFormat="1" customHeight="1" ht="11.25" hidden="1">
      <c r="A45" s="2516"/>
      <c r="B45" s="733"/>
      <c r="D45" s="887" t="s">
        <v>773</v>
      </c>
      <c r="E45" s="889" t="s">
        <v>890</v>
      </c>
      <c r="F45" s="882" t="s">
        <v>879</v>
      </c>
      <c r="G45" s="890"/>
      <c r="H45" s="1246"/>
      <c r="I45" s="890"/>
      <c r="J45" s="1246"/>
      <c r="K45" s="511"/>
    </row>
    <row s="15861" customFormat="1" customHeight="1" ht="11.25" hidden="1">
      <c r="A46" s="2516"/>
      <c r="B46" s="733"/>
      <c r="D46" s="887" t="s">
        <v>816</v>
      </c>
      <c r="E46" s="889" t="s">
        <v>891</v>
      </c>
      <c r="F46" s="882" t="s">
        <v>879</v>
      </c>
      <c r="G46" s="890"/>
      <c r="H46" s="1246"/>
      <c r="I46" s="890"/>
      <c r="J46" s="1246"/>
      <c r="K46" s="511"/>
    </row>
    <row s="15861" customFormat="1" customHeight="1" ht="11.25" hidden="1">
      <c r="A47" s="2516"/>
      <c r="B47" s="733"/>
      <c r="D47" s="887" t="s">
        <v>819</v>
      </c>
      <c r="E47" s="889" t="s">
        <v>892</v>
      </c>
      <c r="F47" s="882" t="s">
        <v>879</v>
      </c>
      <c r="G47" s="890"/>
      <c r="H47" s="1246"/>
      <c r="I47" s="890"/>
      <c r="J47" s="1246"/>
      <c r="K47" s="511"/>
    </row>
    <row s="15861" customFormat="1" customHeight="1" ht="11.25" hidden="1">
      <c r="A48" s="2516"/>
      <c r="B48" s="733"/>
      <c r="D48" s="887" t="s">
        <v>893</v>
      </c>
      <c r="E48" s="893" t="s">
        <v>894</v>
      </c>
      <c r="F48" s="882" t="s">
        <v>879</v>
      </c>
      <c r="G48" s="890"/>
      <c r="H48" s="1246"/>
      <c r="I48" s="890"/>
      <c r="J48" s="1246"/>
      <c r="K48" s="511"/>
    </row>
    <row s="15861" customFormat="1" customHeight="1" ht="11.25" hidden="1">
      <c r="A49" s="2516"/>
      <c r="B49" s="733"/>
      <c r="D49" s="887" t="s">
        <v>895</v>
      </c>
      <c r="E49" s="893" t="s">
        <v>896</v>
      </c>
      <c r="F49" s="882" t="s">
        <v>879</v>
      </c>
      <c r="G49" s="890"/>
      <c r="H49" s="1246"/>
      <c r="I49" s="890"/>
      <c r="J49" s="1246"/>
      <c r="K49" s="511"/>
    </row>
    <row s="15861" customFormat="1" customHeight="1" ht="11.25" hidden="1">
      <c r="A50" s="2516"/>
      <c r="B50" s="733"/>
      <c r="D50" s="887" t="s">
        <v>897</v>
      </c>
      <c r="E50" s="889" t="s">
        <v>898</v>
      </c>
      <c r="F50" s="882" t="s">
        <v>879</v>
      </c>
      <c r="G50" s="890"/>
      <c r="H50" s="1246"/>
      <c r="I50" s="890"/>
      <c r="J50" s="1246"/>
      <c r="K50" s="511"/>
    </row>
    <row s="15861" customFormat="1" customHeight="1" ht="11.25" hidden="1">
      <c r="A51" s="2516"/>
      <c r="B51" s="733"/>
      <c r="D51" s="887" t="s">
        <v>899</v>
      </c>
      <c r="E51" s="889" t="s">
        <v>900</v>
      </c>
      <c r="F51" s="882" t="s">
        <v>879</v>
      </c>
      <c r="G51" s="890"/>
      <c r="H51" s="1246"/>
      <c r="I51" s="890"/>
      <c r="J51" s="1246"/>
      <c r="K51" s="511"/>
    </row>
    <row s="15861" customFormat="1" customHeight="1" ht="45" hidden="1">
      <c r="A52" s="2516"/>
      <c r="B52" s="733"/>
      <c r="D52" s="887" t="s">
        <v>113</v>
      </c>
      <c r="E52" s="888" t="s">
        <v>901</v>
      </c>
      <c r="F52" s="882" t="s">
        <v>879</v>
      </c>
      <c r="G52" s="890"/>
      <c r="H52" s="1246"/>
      <c r="I52" s="890"/>
      <c r="J52" s="1246"/>
      <c r="K52" s="511"/>
    </row>
    <row s="15861" customFormat="1" customHeight="1" ht="11.25" hidden="1">
      <c r="A53" s="2516"/>
      <c r="B53" s="733"/>
      <c r="D53" s="887" t="s">
        <v>419</v>
      </c>
      <c r="E53" s="889" t="s">
        <v>890</v>
      </c>
      <c r="F53" s="882" t="s">
        <v>879</v>
      </c>
      <c r="G53" s="890"/>
      <c r="H53" s="1246"/>
      <c r="I53" s="890"/>
      <c r="J53" s="1246"/>
      <c r="K53" s="511"/>
    </row>
    <row s="15861" customFormat="1" customHeight="1" ht="11.25" hidden="1">
      <c r="A54" s="2516"/>
      <c r="B54" s="733"/>
      <c r="D54" s="887" t="s">
        <v>902</v>
      </c>
      <c r="E54" s="889" t="s">
        <v>891</v>
      </c>
      <c r="F54" s="882" t="s">
        <v>879</v>
      </c>
      <c r="G54" s="890"/>
      <c r="H54" s="1246"/>
      <c r="I54" s="890"/>
      <c r="J54" s="1246"/>
      <c r="K54" s="511"/>
    </row>
    <row s="15861" customFormat="1" customHeight="1" ht="11.25" hidden="1">
      <c r="A55" s="2516"/>
      <c r="B55" s="733"/>
      <c r="D55" s="887" t="s">
        <v>903</v>
      </c>
      <c r="E55" s="889" t="s">
        <v>892</v>
      </c>
      <c r="F55" s="882" t="s">
        <v>879</v>
      </c>
      <c r="G55" s="890"/>
      <c r="H55" s="1246"/>
      <c r="I55" s="890"/>
      <c r="J55" s="1246"/>
      <c r="K55" s="511"/>
    </row>
    <row s="15861" customFormat="1" customHeight="1" ht="11.25" hidden="1">
      <c r="A56" s="2516"/>
      <c r="B56" s="733"/>
      <c r="D56" s="887" t="s">
        <v>904</v>
      </c>
      <c r="E56" s="893" t="s">
        <v>894</v>
      </c>
      <c r="F56" s="882" t="s">
        <v>879</v>
      </c>
      <c r="G56" s="890"/>
      <c r="H56" s="1246"/>
      <c r="I56" s="890"/>
      <c r="J56" s="1246"/>
      <c r="K56" s="511"/>
    </row>
    <row s="15861" customFormat="1" customHeight="1" ht="11.25" hidden="1">
      <c r="A57" s="2516"/>
      <c r="B57" s="733"/>
      <c r="D57" s="887" t="s">
        <v>905</v>
      </c>
      <c r="E57" s="893" t="s">
        <v>896</v>
      </c>
      <c r="F57" s="882" t="s">
        <v>879</v>
      </c>
      <c r="G57" s="890"/>
      <c r="H57" s="1246"/>
      <c r="I57" s="890"/>
      <c r="J57" s="1246"/>
      <c r="K57" s="511"/>
    </row>
    <row s="15861" customFormat="1" customHeight="1" ht="11.25" hidden="1">
      <c r="A58" s="2516"/>
      <c r="B58" s="733"/>
      <c r="D58" s="887" t="s">
        <v>906</v>
      </c>
      <c r="E58" s="889" t="s">
        <v>898</v>
      </c>
      <c r="F58" s="882" t="s">
        <v>879</v>
      </c>
      <c r="G58" s="890"/>
      <c r="H58" s="1246"/>
      <c r="I58" s="890"/>
      <c r="J58" s="1246"/>
      <c r="K58" s="511"/>
    </row>
    <row s="15861" customFormat="1" customHeight="1" ht="11.25" hidden="1">
      <c r="A59" s="2516"/>
      <c r="B59" s="733"/>
      <c r="D59" s="887" t="s">
        <v>907</v>
      </c>
      <c r="E59" s="889" t="s">
        <v>900</v>
      </c>
      <c r="F59" s="882" t="s">
        <v>879</v>
      </c>
      <c r="G59" s="890"/>
      <c r="H59" s="1246"/>
      <c r="I59" s="890"/>
      <c r="J59" s="1246"/>
      <c r="K59" s="511"/>
    </row>
    <row s="15861" customFormat="1" customHeight="1" ht="33.75" hidden="1">
      <c r="A60" s="2516"/>
      <c r="B60" s="733"/>
      <c r="D60" s="887" t="s">
        <v>88</v>
      </c>
      <c r="E60" s="888" t="s">
        <v>908</v>
      </c>
      <c r="F60" s="943" t="s">
        <v>664</v>
      </c>
      <c r="G60" s="964"/>
      <c r="H60" s="1246"/>
      <c r="I60" s="964"/>
      <c r="J60" s="1246"/>
      <c r="K60" s="524" t="s">
        <v>909</v>
      </c>
    </row>
    <row s="15861" customFormat="1" customHeight="1" ht="33.75" hidden="1">
      <c r="A61" s="2516"/>
      <c r="B61" s="733"/>
      <c r="D61" s="887" t="s">
        <v>89</v>
      </c>
      <c r="E61" s="888" t="s">
        <v>910</v>
      </c>
      <c r="F61" s="948" t="s">
        <v>840</v>
      </c>
      <c r="G61" s="890"/>
      <c r="H61" s="1246"/>
      <c r="I61" s="890"/>
      <c r="J61" s="1246"/>
      <c r="K61" s="511"/>
    </row>
    <row s="15861" customFormat="1" customHeight="1" ht="22.5" hidden="1">
      <c r="A62" s="2516"/>
      <c r="B62" s="733" t="s">
        <v>694</v>
      </c>
      <c r="D62" s="887" t="s">
        <v>126</v>
      </c>
      <c r="E62" s="888" t="s">
        <v>911</v>
      </c>
      <c r="F62" s="948" t="s">
        <v>412</v>
      </c>
      <c r="G62" s="604"/>
      <c r="H62" s="1246"/>
      <c r="I62" s="604"/>
      <c r="J62" s="1246"/>
      <c r="K62" s="511" t="s">
        <v>912</v>
      </c>
    </row>
    <row s="15861" customFormat="1" customHeight="1" ht="45" hidden="1">
      <c r="A63" s="2516"/>
      <c r="B63" s="733" t="s">
        <v>694</v>
      </c>
      <c r="D63" s="887" t="s">
        <v>913</v>
      </c>
      <c r="E63" s="889" t="s">
        <v>914</v>
      </c>
      <c r="F63" s="943" t="s">
        <v>412</v>
      </c>
      <c r="G63" s="604"/>
      <c r="H63" s="1246"/>
      <c r="I63" s="604"/>
      <c r="J63" s="1246"/>
      <c r="K63" s="511" t="s">
        <v>912</v>
      </c>
    </row>
    <row s="21835" customFormat="1" customHeight="1" ht="11.25">
      <c r="A64" s="1256"/>
      <c r="B64" s="740"/>
      <c r="D64" s="1257"/>
      <c r="E64" s="1258"/>
    </row>
    <row s="15861" customFormat="1" customHeight="1" ht="22.5">
      <c r="A65" s="2516" t="s">
        <v>915</v>
      </c>
      <c r="B65" s="733"/>
      <c r="D65" s="887">
        <v>1</v>
      </c>
      <c r="E65" s="966" t="s">
        <v>916</v>
      </c>
      <c r="F65" s="962" t="s">
        <v>830</v>
      </c>
      <c r="G65" s="963"/>
      <c r="H65" s="1252"/>
      <c r="I65" s="963"/>
      <c r="J65" s="1252"/>
      <c r="K65" s="523" t="s">
        <v>917</v>
      </c>
    </row>
    <row s="15861" customFormat="1" customHeight="1" ht="56.25">
      <c r="A66" s="2516"/>
      <c r="B66" s="733"/>
      <c r="D66" s="965" t="s">
        <v>99</v>
      </c>
      <c r="E66" s="929" t="s">
        <v>918</v>
      </c>
      <c r="F66" s="882" t="s">
        <v>652</v>
      </c>
      <c r="G66" s="882" t="s">
        <v>652</v>
      </c>
      <c r="H66" s="741"/>
      <c r="I66" s="882" t="s">
        <v>652</v>
      </c>
      <c r="J66" s="741"/>
      <c r="K66" s="511"/>
    </row>
    <row s="15861" customFormat="1" customHeight="1" ht="33.75">
      <c r="A67" s="2516"/>
      <c r="B67" s="733"/>
      <c r="D67" s="965" t="s">
        <v>728</v>
      </c>
      <c r="E67" s="1177" t="s">
        <v>919</v>
      </c>
      <c r="F67" s="882" t="s">
        <v>882</v>
      </c>
      <c r="G67" s="949"/>
      <c r="H67" s="741"/>
      <c r="I67" s="949"/>
      <c r="J67" s="741"/>
      <c r="K67" s="511"/>
    </row>
    <row s="15861" customFormat="1" customHeight="1" ht="22.5">
      <c r="A68" s="2516"/>
      <c r="B68" s="733"/>
      <c r="D68" s="965" t="s">
        <v>413</v>
      </c>
      <c r="E68" s="1177" t="s">
        <v>920</v>
      </c>
      <c r="F68" s="882" t="s">
        <v>882</v>
      </c>
      <c r="G68" s="949"/>
      <c r="H68" s="741"/>
      <c r="I68" s="949"/>
      <c r="J68" s="741"/>
      <c r="K68" s="511"/>
    </row>
    <row s="15861" customFormat="1" customHeight="1" ht="22.5">
      <c r="A69" s="2516"/>
      <c r="B69" s="733"/>
      <c r="D69" s="965" t="s">
        <v>416</v>
      </c>
      <c r="E69" s="1177" t="s">
        <v>921</v>
      </c>
      <c r="F69" s="943" t="s">
        <v>664</v>
      </c>
      <c r="G69" s="964"/>
      <c r="H69" s="741"/>
      <c r="I69" s="964"/>
      <c r="J69" s="741"/>
      <c r="K69" s="511"/>
    </row>
    <row s="15861" customFormat="1" customHeight="1" ht="22.5">
      <c r="A70" s="2516"/>
      <c r="B70" s="733"/>
      <c r="D70" s="965" t="s">
        <v>748</v>
      </c>
      <c r="E70" s="1177" t="s">
        <v>922</v>
      </c>
      <c r="F70" s="943" t="s">
        <v>664</v>
      </c>
      <c r="G70" s="964"/>
      <c r="H70" s="741"/>
      <c r="I70" s="964"/>
      <c r="J70" s="741"/>
      <c r="K70" s="511"/>
    </row>
    <row s="15861" customFormat="1" customHeight="1" ht="22.5">
      <c r="A71" s="2516"/>
      <c r="B71" s="733"/>
      <c r="D71" s="887" t="s">
        <v>86</v>
      </c>
      <c r="E71" s="888" t="s">
        <v>923</v>
      </c>
      <c r="F71" s="882" t="s">
        <v>882</v>
      </c>
      <c r="G71" s="779"/>
      <c r="H71" s="1253"/>
      <c r="I71" s="779"/>
      <c r="J71" s="1253"/>
      <c r="K71" s="524"/>
    </row>
    <row s="15861" customFormat="1" customHeight="1" ht="56.25">
      <c r="A72" s="2516"/>
      <c r="B72" s="733"/>
      <c r="D72" s="887" t="s">
        <v>87</v>
      </c>
      <c r="E72" s="888" t="s">
        <v>924</v>
      </c>
      <c r="F72" s="943" t="s">
        <v>664</v>
      </c>
      <c r="G72" s="964"/>
      <c r="H72" s="1246"/>
      <c r="I72" s="964"/>
      <c r="J72" s="1246"/>
      <c r="K72" s="524"/>
    </row>
    <row s="15861" customFormat="1" customHeight="1" ht="33.75">
      <c r="A73" s="2516"/>
      <c r="B73" s="733"/>
      <c r="D73" s="887" t="s">
        <v>113</v>
      </c>
      <c r="E73" s="888" t="s">
        <v>925</v>
      </c>
      <c r="F73" s="948" t="s">
        <v>840</v>
      </c>
      <c r="G73" s="890"/>
      <c r="H73" s="1246"/>
      <c r="I73" s="890"/>
      <c r="J73" s="1246"/>
      <c r="K73" s="511"/>
    </row>
    <row s="15861" customFormat="1" customHeight="1" ht="22.5">
      <c r="A74" s="2516"/>
      <c r="B74" s="733" t="s">
        <v>694</v>
      </c>
      <c r="D74" s="887" t="s">
        <v>88</v>
      </c>
      <c r="E74" s="888" t="s">
        <v>926</v>
      </c>
      <c r="F74" s="948" t="s">
        <v>412</v>
      </c>
      <c r="G74" s="604"/>
      <c r="H74" s="1246"/>
      <c r="I74" s="604"/>
      <c r="J74" s="1246"/>
      <c r="K74" s="511" t="s">
        <v>912</v>
      </c>
    </row>
    <row s="15861" customFormat="1" customHeight="1" ht="45">
      <c r="A75" s="2516"/>
      <c r="B75" s="733" t="s">
        <v>694</v>
      </c>
      <c r="D75" s="887" t="s">
        <v>927</v>
      </c>
      <c r="E75" s="889" t="s">
        <v>928</v>
      </c>
      <c r="F75" s="943" t="s">
        <v>412</v>
      </c>
      <c r="G75" s="604"/>
      <c r="H75" s="1246"/>
      <c r="I75" s="604"/>
      <c r="J75" s="1246"/>
      <c r="K75" s="511" t="s">
        <v>912</v>
      </c>
    </row>
    <row s="21835" customFormat="1" customHeight="1" ht="11.25">
      <c r="A76" s="1256"/>
      <c r="B76" s="740"/>
      <c r="D76" s="1257"/>
      <c r="E76" s="1258"/>
    </row>
    <row s="15861" customFormat="1" customHeight="1" ht="11.25" hidden="1">
      <c r="A77" s="2516" t="s">
        <v>929</v>
      </c>
      <c r="B77" s="733"/>
      <c r="D77" s="887">
        <v>1</v>
      </c>
      <c r="E77" s="888" t="s">
        <v>930</v>
      </c>
      <c r="F77" s="943" t="s">
        <v>830</v>
      </c>
      <c r="G77" s="946"/>
      <c r="H77" s="1246"/>
      <c r="I77" s="946"/>
      <c r="J77" s="1246"/>
      <c r="K77" s="511" t="s">
        <v>931</v>
      </c>
    </row>
    <row s="15861" customFormat="1" customHeight="1" ht="11.25" hidden="1">
      <c r="A78" s="2516"/>
      <c r="B78" s="733"/>
      <c r="D78" s="887" t="s">
        <v>99</v>
      </c>
      <c r="E78" s="888" t="s">
        <v>932</v>
      </c>
      <c r="F78" s="943" t="s">
        <v>830</v>
      </c>
      <c r="G78" s="946"/>
      <c r="H78" s="1246"/>
      <c r="I78" s="946"/>
      <c r="J78" s="1246"/>
      <c r="K78" s="511" t="s">
        <v>933</v>
      </c>
    </row>
    <row s="15861" customFormat="1" customHeight="1" ht="22.5" hidden="1">
      <c r="A79" s="2516"/>
      <c r="B79" s="733"/>
      <c r="D79" s="887" t="s">
        <v>86</v>
      </c>
      <c r="E79" s="944" t="s">
        <v>934</v>
      </c>
      <c r="F79" s="882" t="s">
        <v>879</v>
      </c>
      <c r="G79" s="946"/>
      <c r="H79" s="1246"/>
      <c r="I79" s="946"/>
      <c r="J79" s="1246"/>
      <c r="K79" s="511" t="s">
        <v>935</v>
      </c>
    </row>
    <row s="15861" customFormat="1" customHeight="1" ht="11.25" hidden="1">
      <c r="A80" s="2516"/>
      <c r="B80" s="733"/>
      <c r="D80" s="887" t="s">
        <v>430</v>
      </c>
      <c r="E80" s="945" t="s">
        <v>936</v>
      </c>
      <c r="F80" s="882" t="s">
        <v>879</v>
      </c>
      <c r="G80" s="946"/>
      <c r="H80" s="1246"/>
      <c r="I80" s="946"/>
      <c r="J80" s="1246"/>
      <c r="K80" s="511"/>
    </row>
    <row s="15861" customFormat="1" customHeight="1" ht="11.25" hidden="1">
      <c r="A81" s="2516"/>
      <c r="B81" s="733"/>
      <c r="D81" s="887" t="s">
        <v>438</v>
      </c>
      <c r="E81" s="945" t="s">
        <v>937</v>
      </c>
      <c r="F81" s="882" t="s">
        <v>879</v>
      </c>
      <c r="G81" s="946"/>
      <c r="H81" s="1246"/>
      <c r="I81" s="946"/>
      <c r="J81" s="1246"/>
      <c r="K81" s="511"/>
    </row>
    <row s="15861" customFormat="1" customHeight="1" ht="11.25" hidden="1">
      <c r="A82" s="2516"/>
      <c r="B82" s="733"/>
      <c r="D82" s="887" t="s">
        <v>440</v>
      </c>
      <c r="E82" s="945" t="s">
        <v>938</v>
      </c>
      <c r="F82" s="882" t="s">
        <v>879</v>
      </c>
      <c r="G82" s="946"/>
      <c r="H82" s="1246"/>
      <c r="I82" s="946"/>
      <c r="J82" s="1246"/>
      <c r="K82" s="511"/>
    </row>
    <row s="15861" customFormat="1" customHeight="1" ht="11.25" hidden="1">
      <c r="A83" s="2516"/>
      <c r="B83" s="733"/>
      <c r="D83" s="887" t="s">
        <v>442</v>
      </c>
      <c r="E83" s="945" t="s">
        <v>939</v>
      </c>
      <c r="F83" s="882" t="s">
        <v>879</v>
      </c>
      <c r="G83" s="946"/>
      <c r="H83" s="1246"/>
      <c r="I83" s="946"/>
      <c r="J83" s="1246"/>
      <c r="K83" s="511"/>
    </row>
    <row s="15861" customFormat="1" customHeight="1" ht="11.25" hidden="1">
      <c r="A84" s="2516"/>
      <c r="B84" s="733"/>
      <c r="D84" s="887" t="s">
        <v>940</v>
      </c>
      <c r="E84" s="945" t="s">
        <v>941</v>
      </c>
      <c r="F84" s="882" t="s">
        <v>879</v>
      </c>
      <c r="G84" s="946"/>
      <c r="H84" s="1246"/>
      <c r="I84" s="946"/>
      <c r="J84" s="1246"/>
      <c r="K84" s="511"/>
    </row>
    <row s="15861" customFormat="1" customHeight="1" ht="11.25" hidden="1">
      <c r="A85" s="2516"/>
      <c r="B85" s="733"/>
      <c r="D85" s="887" t="s">
        <v>942</v>
      </c>
      <c r="E85" s="945" t="s">
        <v>943</v>
      </c>
      <c r="F85" s="882" t="s">
        <v>879</v>
      </c>
      <c r="G85" s="946"/>
      <c r="H85" s="1246"/>
      <c r="I85" s="946"/>
      <c r="J85" s="1246"/>
      <c r="K85" s="511"/>
    </row>
    <row s="15861" customFormat="1" customHeight="1" ht="11.25" hidden="1">
      <c r="A86" s="2516"/>
      <c r="B86" s="733"/>
      <c r="D86" s="887" t="s">
        <v>944</v>
      </c>
      <c r="E86" s="945" t="s">
        <v>945</v>
      </c>
      <c r="F86" s="882" t="s">
        <v>879</v>
      </c>
      <c r="G86" s="946"/>
      <c r="H86" s="1246"/>
      <c r="I86" s="946"/>
      <c r="J86" s="1246"/>
      <c r="K86" s="511"/>
    </row>
    <row s="15861" customFormat="1" customHeight="1" ht="45" hidden="1">
      <c r="A87" s="2516"/>
      <c r="B87" s="733"/>
      <c r="D87" s="887" t="s">
        <v>87</v>
      </c>
      <c r="E87" s="888" t="s">
        <v>946</v>
      </c>
      <c r="F87" s="882" t="s">
        <v>879</v>
      </c>
      <c r="G87" s="946"/>
      <c r="H87" s="1246"/>
      <c r="I87" s="946"/>
      <c r="J87" s="1246"/>
      <c r="K87" s="511" t="s">
        <v>947</v>
      </c>
    </row>
    <row s="15861" customFormat="1" customHeight="1" ht="11.25" hidden="1">
      <c r="A88" s="2516"/>
      <c r="B88" s="733"/>
      <c r="D88" s="887" t="s">
        <v>773</v>
      </c>
      <c r="E88" s="945" t="s">
        <v>936</v>
      </c>
      <c r="F88" s="882" t="s">
        <v>879</v>
      </c>
      <c r="G88" s="946"/>
      <c r="H88" s="1246"/>
      <c r="I88" s="946"/>
      <c r="J88" s="1246"/>
      <c r="K88" s="511"/>
    </row>
    <row s="15861" customFormat="1" customHeight="1" ht="11.25" hidden="1">
      <c r="A89" s="2516"/>
      <c r="B89" s="733"/>
      <c r="D89" s="887" t="s">
        <v>816</v>
      </c>
      <c r="E89" s="945" t="s">
        <v>937</v>
      </c>
      <c r="F89" s="882" t="s">
        <v>879</v>
      </c>
      <c r="G89" s="946"/>
      <c r="H89" s="1246"/>
      <c r="I89" s="946"/>
      <c r="J89" s="1246"/>
      <c r="K89" s="511"/>
    </row>
    <row s="15861" customFormat="1" customHeight="1" ht="11.25" hidden="1">
      <c r="A90" s="2516"/>
      <c r="B90" s="733"/>
      <c r="D90" s="887" t="s">
        <v>819</v>
      </c>
      <c r="E90" s="945" t="s">
        <v>938</v>
      </c>
      <c r="F90" s="882" t="s">
        <v>879</v>
      </c>
      <c r="G90" s="946"/>
      <c r="H90" s="1246"/>
      <c r="I90" s="946"/>
      <c r="J90" s="1246"/>
      <c r="K90" s="511"/>
    </row>
    <row s="15861" customFormat="1" customHeight="1" ht="11.25" hidden="1">
      <c r="A91" s="2516"/>
      <c r="B91" s="733"/>
      <c r="D91" s="887" t="s">
        <v>897</v>
      </c>
      <c r="E91" s="945" t="s">
        <v>939</v>
      </c>
      <c r="F91" s="882" t="s">
        <v>879</v>
      </c>
      <c r="G91" s="946"/>
      <c r="H91" s="1246"/>
      <c r="I91" s="946"/>
      <c r="J91" s="1246"/>
      <c r="K91" s="511"/>
    </row>
    <row s="15861" customFormat="1" customHeight="1" ht="11.25" hidden="1">
      <c r="A92" s="2516"/>
      <c r="B92" s="733"/>
      <c r="D92" s="887" t="s">
        <v>899</v>
      </c>
      <c r="E92" s="945" t="s">
        <v>941</v>
      </c>
      <c r="F92" s="882" t="s">
        <v>879</v>
      </c>
      <c r="G92" s="946"/>
      <c r="H92" s="1246"/>
      <c r="I92" s="946"/>
      <c r="J92" s="1246"/>
      <c r="K92" s="511"/>
    </row>
    <row s="15861" customFormat="1" customHeight="1" ht="11.25" hidden="1">
      <c r="A93" s="2516"/>
      <c r="B93" s="733"/>
      <c r="D93" s="887" t="s">
        <v>948</v>
      </c>
      <c r="E93" s="945" t="s">
        <v>943</v>
      </c>
      <c r="F93" s="882" t="s">
        <v>879</v>
      </c>
      <c r="G93" s="946"/>
      <c r="H93" s="1246"/>
      <c r="I93" s="946"/>
      <c r="J93" s="1246"/>
      <c r="K93" s="511"/>
    </row>
    <row s="15861" customFormat="1" customHeight="1" ht="11.25" hidden="1">
      <c r="A94" s="2516"/>
      <c r="B94" s="733"/>
      <c r="D94" s="887" t="s">
        <v>949</v>
      </c>
      <c r="E94" s="945" t="s">
        <v>945</v>
      </c>
      <c r="F94" s="882" t="s">
        <v>879</v>
      </c>
      <c r="G94" s="946"/>
      <c r="H94" s="1246"/>
      <c r="I94" s="946"/>
      <c r="J94" s="1246"/>
      <c r="K94" s="511"/>
    </row>
    <row s="15861" customFormat="1" customHeight="1" ht="24.75" hidden="1">
      <c r="A95" s="2516"/>
      <c r="B95" s="733"/>
      <c r="D95" s="887" t="s">
        <v>113</v>
      </c>
      <c r="E95" s="888" t="s">
        <v>950</v>
      </c>
      <c r="F95" s="947" t="s">
        <v>664</v>
      </c>
      <c r="G95" s="949"/>
      <c r="H95" s="1246"/>
      <c r="I95" s="949"/>
      <c r="J95" s="1246"/>
      <c r="K95" s="511" t="s">
        <v>951</v>
      </c>
    </row>
    <row s="15861" customFormat="1" customHeight="1" ht="33.75" hidden="1">
      <c r="A96" s="2516"/>
      <c r="B96" s="733"/>
      <c r="D96" s="887" t="s">
        <v>88</v>
      </c>
      <c r="E96" s="888" t="s">
        <v>952</v>
      </c>
      <c r="F96" s="948" t="s">
        <v>840</v>
      </c>
      <c r="G96" s="950"/>
      <c r="H96" s="1246"/>
      <c r="I96" s="950"/>
      <c r="J96" s="1246"/>
      <c r="K96" s="511"/>
    </row>
    <row s="15861" customFormat="1" customHeight="1" ht="22.5" hidden="1">
      <c r="A97" s="2516"/>
      <c r="B97" s="733" t="s">
        <v>694</v>
      </c>
      <c r="D97" s="887" t="s">
        <v>89</v>
      </c>
      <c r="E97" s="888" t="s">
        <v>953</v>
      </c>
      <c r="F97" s="948" t="s">
        <v>412</v>
      </c>
      <c r="G97" s="607"/>
      <c r="H97" s="1246"/>
      <c r="I97" s="607"/>
      <c r="J97" s="1246"/>
      <c r="K97" s="511" t="s">
        <v>912</v>
      </c>
    </row>
    <row s="15861" customFormat="1" customHeight="1" ht="45" hidden="1">
      <c r="A98" s="2516"/>
      <c r="B98" s="733" t="s">
        <v>694</v>
      </c>
      <c r="D98" s="887" t="s">
        <v>954</v>
      </c>
      <c r="E98" s="889" t="s">
        <v>955</v>
      </c>
      <c r="F98" s="943" t="s">
        <v>412</v>
      </c>
      <c r="G98" s="607"/>
      <c r="H98" s="1246"/>
      <c r="I98" s="607"/>
      <c r="J98" s="1246"/>
      <c r="K98" s="511" t="s">
        <v>912</v>
      </c>
    </row>
    <row s="15861" customFormat="1" customHeight="1" ht="95.25" hidden="1">
      <c r="A99" s="2516"/>
      <c r="B99" s="733" t="s">
        <v>694</v>
      </c>
      <c r="D99" s="887" t="s">
        <v>126</v>
      </c>
      <c r="E99" s="888" t="s">
        <v>956</v>
      </c>
      <c r="F99" s="943" t="s">
        <v>412</v>
      </c>
      <c r="G99" s="607"/>
      <c r="H99" s="1246"/>
      <c r="I99" s="607"/>
      <c r="J99" s="1246"/>
      <c r="K99" s="511" t="s">
        <v>912</v>
      </c>
    </row>
    <row s="15861" customFormat="1" customHeight="1" ht="22.5" hidden="1">
      <c r="A100" s="2516"/>
      <c r="B100" s="733" t="s">
        <v>694</v>
      </c>
      <c r="D100" s="887" t="s">
        <v>131</v>
      </c>
      <c r="E100" s="888" t="s">
        <v>957</v>
      </c>
      <c r="F100" s="943" t="s">
        <v>412</v>
      </c>
      <c r="G100" s="607"/>
      <c r="H100" s="1246"/>
      <c r="I100" s="607"/>
      <c r="J100" s="1246"/>
      <c r="K100" s="511" t="s">
        <v>912</v>
      </c>
    </row>
    <row s="21835" customFormat="1" customHeight="1" ht="11.25">
      <c r="A101" s="1256"/>
      <c r="B101" s="740"/>
      <c r="D101" s="1257"/>
      <c r="E101" s="1258"/>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D725A5-396E-49BC-49A9-12ED13018AA5}"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16403" width="9.140625" hidden="1" customWidth="1"/>
    <col min="2" max="2" style="16406" width="9.140625" hidden="1" customWidth="1"/>
    <col min="3" max="3" style="22022" width="4.7109375" customWidth="1"/>
    <col min="4" max="4" style="16406" width="6.28125" customWidth="1"/>
    <col min="5" max="5" style="16406" width="36.7109375" customWidth="1"/>
    <col min="6" max="6" style="16406" width="9.57421875" customWidth="1"/>
    <col min="7" max="7" style="15861" width="25.7109375" hidden="1" customWidth="1"/>
    <col min="8" max="8" style="15861" width="33.7109375" hidden="1" customWidth="1"/>
    <col min="9" max="9" style="16406" width="25.7109375" customWidth="1"/>
    <col min="10" max="10" style="16406" width="33.7109375" customWidth="1"/>
    <col min="11" max="11" style="15862" width="93.421875" customWidth="1"/>
    <col min="12" max="20" style="16406" width="10.57421875"/>
    <col min="21" max="21" style="22023" width="10.57421875"/>
  </cols>
  <sheetData>
    <row s="15862" customFormat="1" customHeight="1" ht="15" hidden="1">
      <c r="C1" s="894"/>
      <c r="G1" s="639">
        <v>4</v>
      </c>
      <c r="I1" s="639">
        <v>4</v>
      </c>
      <c r="U1" s="642"/>
    </row>
    <row s="15862" customFormat="1" customHeight="1" ht="15" hidden="1">
      <c r="C2" s="894"/>
      <c r="U2" s="642"/>
    </row>
    <row customHeight="1" ht="22.5" hidden="1">
      <c r="A3" s="727"/>
      <c r="B3" s="2518"/>
      <c r="C3" s="2519" t="s">
        <v>100</v>
      </c>
      <c r="D3" s="911" t="str">
        <f>B3&amp;".1"</f>
        <v>.1</v>
      </c>
      <c r="E3" s="912" t="s">
        <v>958</v>
      </c>
      <c r="F3" s="913" t="s">
        <v>412</v>
      </c>
      <c r="G3" s="908"/>
      <c r="H3" s="623"/>
      <c r="I3" s="908"/>
      <c r="J3" s="623"/>
      <c r="K3" s="511" t="s">
        <v>959</v>
      </c>
    </row>
    <row customHeight="1" ht="15" hidden="1">
      <c r="A4" s="727"/>
      <c r="B4" s="2518"/>
      <c r="C4" s="2519"/>
      <c r="D4" s="911" t="str">
        <f>B3&amp;".2"</f>
        <v>.2</v>
      </c>
      <c r="E4" s="912" t="s">
        <v>960</v>
      </c>
      <c r="F4" s="913" t="s">
        <v>412</v>
      </c>
      <c r="G4" s="1965" t="s">
        <v>24</v>
      </c>
      <c r="H4" s="623"/>
      <c r="I4" s="1965" t="s">
        <v>24</v>
      </c>
      <c r="J4" s="623"/>
      <c r="K4" s="511" t="s">
        <v>961</v>
      </c>
    </row>
    <row s="15862" customFormat="1" customHeight="1" ht="15" hidden="1">
      <c r="C5" s="894"/>
      <c r="U5" s="642"/>
    </row>
    <row customHeight="1" ht="22.5" hidden="1">
      <c r="A6" s="727"/>
      <c r="B6" s="2518"/>
      <c r="C6" s="2519" t="s">
        <v>100</v>
      </c>
      <c r="D6" s="911" t="str">
        <f>B6&amp;".1"</f>
        <v>.1</v>
      </c>
      <c r="E6" s="912" t="s">
        <v>962</v>
      </c>
      <c r="F6" s="913" t="s">
        <v>412</v>
      </c>
      <c r="G6" s="908"/>
      <c r="H6" s="623"/>
      <c r="I6" s="908"/>
      <c r="J6" s="623"/>
      <c r="K6" s="511" t="s">
        <v>963</v>
      </c>
    </row>
    <row customHeight="1" ht="15" hidden="1">
      <c r="A7" s="727"/>
      <c r="B7" s="2518"/>
      <c r="C7" s="2519"/>
      <c r="D7" s="911" t="str">
        <f>B6&amp;".2"</f>
        <v>.2</v>
      </c>
      <c r="E7" s="912" t="s">
        <v>960</v>
      </c>
      <c r="F7" s="913" t="s">
        <v>412</v>
      </c>
      <c r="G7" s="1965" t="s">
        <v>24</v>
      </c>
      <c r="H7" s="623"/>
      <c r="I7" s="1965" t="s">
        <v>24</v>
      </c>
      <c r="J7" s="623"/>
      <c r="K7" s="511" t="s">
        <v>961</v>
      </c>
    </row>
    <row s="15862" customFormat="1" customHeight="1" ht="15" hidden="1">
      <c r="C8" s="894"/>
      <c r="U8" s="642"/>
    </row>
    <row customHeight="1" ht="22.5" hidden="1">
      <c r="A9" s="727"/>
      <c r="B9" s="2518"/>
      <c r="C9" s="2519" t="s">
        <v>100</v>
      </c>
      <c r="D9" s="911" t="str">
        <f>B9&amp;".1"</f>
        <v>.1</v>
      </c>
      <c r="E9" s="912" t="s">
        <v>964</v>
      </c>
      <c r="F9" s="913" t="s">
        <v>412</v>
      </c>
      <c r="G9" s="919" t="s">
        <v>24</v>
      </c>
      <c r="H9" s="623" t="s">
        <v>24</v>
      </c>
      <c r="I9" s="919" t="s">
        <v>24</v>
      </c>
      <c r="J9" s="623" t="s">
        <v>24</v>
      </c>
      <c r="K9" s="511"/>
    </row>
    <row customHeight="1" ht="15" hidden="1">
      <c r="A10" s="727"/>
      <c r="B10" s="2518"/>
      <c r="C10" s="2519"/>
      <c r="D10" s="911" t="str">
        <f>B9&amp;".2"</f>
        <v>.2</v>
      </c>
      <c r="E10" s="912" t="s">
        <v>965</v>
      </c>
      <c r="F10" s="913" t="s">
        <v>412</v>
      </c>
      <c r="G10" s="1959" t="s">
        <v>24</v>
      </c>
      <c r="H10" s="623" t="s">
        <v>24</v>
      </c>
      <c r="I10" s="1959" t="s">
        <v>24</v>
      </c>
      <c r="J10" s="623" t="s">
        <v>24</v>
      </c>
      <c r="K10" s="511" t="s">
        <v>966</v>
      </c>
    </row>
    <row customHeight="1" ht="15" hidden="1">
      <c r="A11" s="727"/>
      <c r="B11" s="2518"/>
      <c r="C11" s="2519"/>
      <c r="D11" s="911" t="str">
        <f>B9&amp;".3"</f>
        <v>.3</v>
      </c>
      <c r="E11" s="912" t="s">
        <v>967</v>
      </c>
      <c r="F11" s="913" t="s">
        <v>412</v>
      </c>
      <c r="G11" s="1959" t="s">
        <v>24</v>
      </c>
      <c r="H11" s="623" t="s">
        <v>24</v>
      </c>
      <c r="I11" s="1959" t="s">
        <v>24</v>
      </c>
      <c r="J11" s="623" t="s">
        <v>24</v>
      </c>
      <c r="K11" s="511" t="s">
        <v>968</v>
      </c>
    </row>
    <row s="15862" customFormat="1" customHeight="1" ht="15" hidden="1">
      <c r="C12" s="894"/>
      <c r="U12" s="642"/>
    </row>
    <row customHeight="1" ht="33.75" hidden="1">
      <c r="A13" s="727"/>
      <c r="B13" s="2518"/>
      <c r="C13" s="2519" t="s">
        <v>100</v>
      </c>
      <c r="D13" s="911" t="str">
        <f>B13&amp;".1"</f>
        <v>.1</v>
      </c>
      <c r="E13" s="912" t="s">
        <v>969</v>
      </c>
      <c r="F13" s="913" t="s">
        <v>412</v>
      </c>
      <c r="G13" s="919" t="s">
        <v>24</v>
      </c>
      <c r="H13" s="623" t="s">
        <v>24</v>
      </c>
      <c r="I13" s="919" t="s">
        <v>24</v>
      </c>
      <c r="J13" s="623" t="s">
        <v>24</v>
      </c>
      <c r="K13" s="511" t="s">
        <v>970</v>
      </c>
    </row>
    <row customHeight="1" ht="15" hidden="1">
      <c r="B14" s="2518"/>
      <c r="C14" s="2519"/>
      <c r="D14" s="911" t="str">
        <f>B13&amp;".2"</f>
        <v>.2</v>
      </c>
      <c r="E14" s="912" t="s">
        <v>971</v>
      </c>
      <c r="F14" s="913" t="s">
        <v>412</v>
      </c>
      <c r="G14" s="1959" t="s">
        <v>24</v>
      </c>
      <c r="H14" s="623" t="s">
        <v>24</v>
      </c>
      <c r="I14" s="1959" t="s">
        <v>24</v>
      </c>
      <c r="J14" s="623" t="s">
        <v>24</v>
      </c>
      <c r="K14" s="511" t="s">
        <v>972</v>
      </c>
    </row>
    <row s="15862" customFormat="1" customHeight="1" ht="15" hidden="1">
      <c r="C15" s="894"/>
      <c r="U15" s="642"/>
    </row>
    <row s="15862" customFormat="1" customHeight="1" ht="15" hidden="1">
      <c r="C16" s="894"/>
      <c r="U16" s="642"/>
    </row>
    <row s="15862" customFormat="1" customHeight="1" ht="15" hidden="1">
      <c r="C17" s="894"/>
      <c r="U17" s="642"/>
    </row>
    <row s="15862" customFormat="1" customHeight="1" ht="15" hidden="1">
      <c r="C18" s="894"/>
      <c r="U18" s="642"/>
    </row>
    <row s="15862" customFormat="1" customHeight="1" ht="15" hidden="1">
      <c r="C19" s="894"/>
      <c r="U19" s="642"/>
    </row>
    <row s="15862" customFormat="1" customHeight="1" ht="15" hidden="1">
      <c r="C20" s="894"/>
      <c r="U20" s="642"/>
    </row>
    <row customHeight="1" ht="15">
      <c r="C21" s="399"/>
      <c r="D21" s="731"/>
      <c r="E21" s="731"/>
      <c r="F21" s="731"/>
      <c r="G21" s="731"/>
      <c r="H21" s="731"/>
      <c r="I21" s="731"/>
      <c r="J21" s="731"/>
    </row>
    <row customHeight="1" ht="22.5">
      <c r="C22" s="399"/>
      <c r="D22" s="236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66"/>
      <c r="F22" s="2366"/>
      <c r="G22" s="2366"/>
      <c r="H22" s="2366"/>
      <c r="I22" s="2366"/>
      <c r="J22" s="898"/>
      <c r="K22" s="759"/>
    </row>
    <row customHeight="1" ht="15">
      <c r="C23" s="399"/>
      <c r="D23" s="2335" t="str">
        <f>IF(org=0,"Не определено",org)</f>
        <v>КГУП "Примтеплоэнерго"</v>
      </c>
      <c r="E23" s="2335"/>
      <c r="F23" s="2335"/>
      <c r="G23" s="2335"/>
      <c r="H23" s="2335"/>
      <c r="I23" s="2335"/>
      <c r="J23" s="898"/>
      <c r="K23" s="759"/>
    </row>
    <row customHeight="1" ht="15">
      <c r="C24" s="399"/>
      <c r="D24" s="731"/>
      <c r="E24" s="731"/>
      <c r="F24" s="731"/>
      <c r="G24" s="759">
        <v>22</v>
      </c>
      <c r="H24" s="974"/>
      <c r="I24" s="759">
        <v>22</v>
      </c>
      <c r="J24" s="974"/>
    </row>
    <row s="15861" customFormat="1" customHeight="1" ht="0.75">
      <c r="A25" s="981"/>
      <c r="C25" s="399"/>
      <c r="D25" s="731"/>
      <c r="E25" s="731"/>
      <c r="F25" s="731"/>
      <c r="G25" s="759"/>
      <c r="H25" s="974"/>
      <c r="I25" s="759" t="s">
        <v>173</v>
      </c>
      <c r="J25" s="974"/>
      <c r="K25" s="639"/>
      <c r="U25" s="897"/>
    </row>
    <row customHeight="1" ht="15">
      <c r="C26" s="399"/>
      <c r="D26" s="933"/>
      <c r="E26" s="2497" t="s">
        <v>164</v>
      </c>
      <c r="F26" s="2498"/>
      <c r="G26" s="2520" t="str">
        <f>IF(G25="","",INDEX(DIFFERENTIATION_UNMERGE_VD,MATCH(G25,DIFFERENTIATION_ID_DIFF,0)))</f>
        <v/>
      </c>
      <c r="H26" s="2521"/>
      <c r="I26" s="2520">
        <f>IF(I25="","",INDEX(DIFFERENTIATION_UNMERGE_VD,MATCH(I25,DIFFERENTIATION_ID_DIFF,0)))</f>
        <v>0</v>
      </c>
      <c r="J26" s="2521"/>
      <c r="K26" s="2310" t="s">
        <v>407</v>
      </c>
    </row>
    <row s="15861" customFormat="1" customHeight="1" ht="15">
      <c r="A27" s="981"/>
      <c r="C27" s="399"/>
      <c r="D27" s="933"/>
      <c r="E27" s="2497" t="s">
        <v>670</v>
      </c>
      <c r="F27" s="2498"/>
      <c r="G27" s="2520" t="str">
        <f>IF(G25="","",INDEX(DIFFERENTIATION_UNMERGE_AREA,MATCH(G25,DIFFERENTIATION_ID_DIFF,0)))</f>
        <v/>
      </c>
      <c r="H27" s="2521"/>
      <c r="I27" s="2520" t="str">
        <f>IF(I25="","",INDEX(DIFFERENTIATION_UNMERGE_AREA,MATCH(I25,DIFFERENTIATION_ID_DIFF,0)))</f>
        <v/>
      </c>
      <c r="J27" s="2521"/>
      <c r="K27" s="2314"/>
      <c r="U27" s="897"/>
    </row>
    <row s="15861" customFormat="1" customHeight="1" ht="15">
      <c r="A28" s="981"/>
      <c r="C28" s="399"/>
      <c r="D28" s="933"/>
      <c r="E28" s="2497" t="s">
        <v>671</v>
      </c>
      <c r="F28" s="2498"/>
      <c r="G28" s="2520" t="str">
        <f>IF(G25="","",INDEX(DIFFERENTIATION_UNMERGE_SYSTEM,MATCH(G25,DIFFERENTIATION_ID_DIFF,0)))</f>
        <v/>
      </c>
      <c r="H28" s="2521"/>
      <c r="I28" s="2520" t="str">
        <f>IF(I25="","",INDEX(DIFFERENTIATION_UNMERGE_SYSTEM,MATCH(I25,DIFFERENTIATION_ID_DIFF,0)))</f>
        <v>без дифференциации</v>
      </c>
      <c r="J28" s="2521"/>
      <c r="K28" s="2314"/>
      <c r="U28" s="897"/>
    </row>
    <row s="15861" customFormat="1" customHeight="1" ht="15">
      <c r="A29" s="981"/>
      <c r="C29" s="399"/>
      <c r="D29" s="2499" t="s">
        <v>406</v>
      </c>
      <c r="E29" s="2500"/>
      <c r="F29" s="2500"/>
      <c r="G29" s="1109"/>
      <c r="H29" s="1109"/>
      <c r="I29" s="1109"/>
      <c r="J29" s="1110"/>
      <c r="K29" s="2314"/>
      <c r="U29" s="897"/>
    </row>
    <row customHeight="1" ht="33.75">
      <c r="C30" s="399"/>
      <c r="D30" s="983" t="s">
        <v>84</v>
      </c>
      <c r="E30" s="982" t="s">
        <v>408</v>
      </c>
      <c r="F30" s="982" t="s">
        <v>672</v>
      </c>
      <c r="G30" s="1030" t="s">
        <v>409</v>
      </c>
      <c r="H30" s="1029" t="s">
        <v>496</v>
      </c>
      <c r="I30" s="906" t="s">
        <v>409</v>
      </c>
      <c r="J30" s="687" t="s">
        <v>496</v>
      </c>
      <c r="K30" s="2320"/>
    </row>
    <row customHeight="1" ht="15" hidden="1">
      <c r="C31" s="399"/>
      <c r="D31" s="815"/>
      <c r="E31" s="815"/>
      <c r="F31" s="815"/>
      <c r="G31" s="881"/>
      <c r="H31" s="881"/>
      <c r="I31" s="881"/>
      <c r="J31" s="881"/>
      <c r="K31" s="511"/>
    </row>
    <row customHeight="1" ht="22.5">
      <c r="A32" s="727"/>
      <c r="B32" s="727" t="s">
        <v>973</v>
      </c>
      <c r="C32" s="748"/>
      <c r="D32" s="914">
        <v>1</v>
      </c>
      <c r="E32" s="915" t="s">
        <v>974</v>
      </c>
      <c r="F32" s="913" t="s">
        <v>412</v>
      </c>
      <c r="G32" s="1035" t="s">
        <v>412</v>
      </c>
      <c r="H32" s="1035" t="s">
        <v>412</v>
      </c>
      <c r="I32" s="913" t="s">
        <v>412</v>
      </c>
      <c r="J32" s="913" t="s">
        <v>412</v>
      </c>
      <c r="K32" s="511"/>
    </row>
    <row customHeight="1" ht="11.25">
      <c r="A33" s="727"/>
      <c r="C33" s="727"/>
      <c r="D33" s="569"/>
      <c r="E33" s="802" t="s">
        <v>692</v>
      </c>
      <c r="F33" s="794"/>
      <c r="G33" s="794"/>
      <c r="H33" s="794"/>
      <c r="I33" s="794"/>
      <c r="J33" s="794"/>
      <c r="K33" s="795"/>
      <c r="U33" s="727"/>
    </row>
    <row customHeight="1" ht="22.5">
      <c r="A34" s="727"/>
      <c r="B34" s="803" t="s">
        <v>975</v>
      </c>
      <c r="C34" s="748"/>
      <c r="D34" s="914">
        <v>2</v>
      </c>
      <c r="E34" s="915" t="s">
        <v>976</v>
      </c>
      <c r="F34" s="1042" t="s">
        <v>412</v>
      </c>
      <c r="G34" s="1042" t="s">
        <v>412</v>
      </c>
      <c r="H34" s="1042" t="s">
        <v>412</v>
      </c>
      <c r="I34" s="913"/>
      <c r="J34" s="913"/>
      <c r="K34" s="511"/>
    </row>
    <row customHeight="1" ht="11.25">
      <c r="A35" s="727"/>
      <c r="C35" s="727"/>
      <c r="D35" s="569"/>
      <c r="E35" s="802" t="s">
        <v>977</v>
      </c>
      <c r="F35" s="794"/>
      <c r="G35" s="916"/>
      <c r="H35" s="794"/>
      <c r="I35" s="916"/>
      <c r="J35" s="794"/>
      <c r="K35" s="795"/>
      <c r="U35" s="727"/>
    </row>
    <row customHeight="1" ht="67.5">
      <c r="A36" s="727"/>
      <c r="B36" s="727" t="s">
        <v>978</v>
      </c>
      <c r="C36" s="748"/>
      <c r="D36" s="914">
        <v>3</v>
      </c>
      <c r="E36" s="915" t="s">
        <v>979</v>
      </c>
      <c r="F36" s="917" t="s">
        <v>412</v>
      </c>
      <c r="G36" s="1036" t="s">
        <v>980</v>
      </c>
      <c r="H36" s="1035" t="s">
        <v>412</v>
      </c>
      <c r="I36" s="746" t="s">
        <v>980</v>
      </c>
      <c r="J36" s="913" t="s">
        <v>412</v>
      </c>
      <c r="K36" s="511" t="s">
        <v>981</v>
      </c>
    </row>
    <row customHeight="1" ht="11.25">
      <c r="A37" s="727"/>
      <c r="C37" s="727"/>
      <c r="D37" s="569"/>
      <c r="E37" s="802" t="s">
        <v>982</v>
      </c>
      <c r="F37" s="794"/>
      <c r="G37" s="916"/>
      <c r="H37" s="916"/>
      <c r="I37" s="916"/>
      <c r="J37" s="916"/>
      <c r="K37" s="795"/>
      <c r="U37" s="727"/>
    </row>
    <row customHeight="1" ht="67.5">
      <c r="A38" s="727"/>
      <c r="B38" s="727" t="s">
        <v>983</v>
      </c>
      <c r="C38" s="748"/>
      <c r="D38" s="914">
        <v>4</v>
      </c>
      <c r="E38" s="915" t="s">
        <v>984</v>
      </c>
      <c r="F38" s="917" t="s">
        <v>412</v>
      </c>
      <c r="G38" s="1036" t="s">
        <v>980</v>
      </c>
      <c r="H38" s="1037" t="s">
        <v>412</v>
      </c>
      <c r="I38" s="746" t="s">
        <v>980</v>
      </c>
      <c r="J38" s="743" t="s">
        <v>412</v>
      </c>
      <c r="K38" s="901" t="s">
        <v>985</v>
      </c>
    </row>
    <row customHeight="1" ht="11.25">
      <c r="A39" s="727"/>
      <c r="C39" s="727"/>
      <c r="D39" s="569"/>
      <c r="E39" s="802" t="s">
        <v>986</v>
      </c>
      <c r="F39" s="794"/>
      <c r="G39" s="794"/>
      <c r="H39" s="918"/>
      <c r="I39" s="794"/>
      <c r="J39" s="918"/>
      <c r="K39" s="795"/>
      <c r="U39" s="727"/>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694287-C9DF-436B-02C9-8D61BE51905C}"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22048" width="6.7109375" hidden="1" customWidth="1"/>
    <col min="4" max="4" style="15862" width="6.7109375" hidden="1" customWidth="1"/>
    <col min="5" max="5" style="21835" width="3.7109375" customWidth="1"/>
    <col min="6" max="6" style="15861" width="6.28125" customWidth="1"/>
    <col min="7" max="7" style="15861" width="37.7109375" customWidth="1"/>
    <col min="8" max="8" style="16635" width="16.57421875" customWidth="1"/>
    <col min="9" max="10" style="15861" width="19.7109375" customWidth="1"/>
    <col min="11" max="11" style="15861" width="25.00390625" customWidth="1"/>
    <col min="12" max="13" style="15861" width="25.7109375" customWidth="1"/>
    <col min="14" max="16" style="15861" width="17.7109375" customWidth="1"/>
    <col min="17" max="24" style="15861" width="19.7109375" customWidth="1"/>
    <col min="25" max="25" style="15861" width="8.00390625" customWidth="1"/>
    <col min="26" max="26" style="15861" width="3.28125" customWidth="1"/>
    <col min="27" max="27" style="15861" width="6.28125" customWidth="1"/>
    <col min="28" max="28" style="15861" width="34.140625" customWidth="1"/>
    <col min="29" max="30" style="15861" width="9.140625"/>
  </cols>
  <sheetData>
    <row s="15862" customFormat="1" customHeight="1" ht="10.5" hidden="1">
      <c r="A1" s="1117"/>
      <c r="B1" s="1117"/>
      <c r="C1" s="1117"/>
      <c r="E1" s="759"/>
      <c r="H1" s="1384"/>
    </row>
    <row customHeight="1" ht="10.5" hidden="1"/>
    <row s="22025" customFormat="1" customHeight="1" ht="10.5" hidden="1">
      <c r="A3" s="1117"/>
      <c r="B3" s="1117"/>
      <c r="C3" s="1117"/>
      <c r="D3" s="639"/>
      <c r="E3" s="584"/>
      <c r="H3" s="1380"/>
    </row>
    <row customHeight="1" ht="3"/>
    <row customHeight="1" ht="25.5">
      <c r="F5" s="2421" t="str">
        <f>IP_NAME_FORM</f>
        <v>Форма 7. Информация об инвестиционных программах организации горячего водоснабжения и отчетах об их исполнении</v>
      </c>
      <c r="G5" s="2421"/>
      <c r="H5" s="2421"/>
      <c r="I5" s="2421"/>
      <c r="J5" s="2421"/>
      <c r="K5" s="2421"/>
      <c r="M5" s="804"/>
      <c r="AB5" s="1128"/>
    </row>
    <row s="16676" customFormat="1" customHeight="1" ht="15.75">
      <c r="A6" s="1390"/>
      <c r="B6" s="1390"/>
      <c r="C6" s="1390"/>
      <c r="D6" s="1384"/>
      <c r="E6" s="1862"/>
      <c r="F6" s="2422" t="str">
        <f>IF(org=0,"Не определено",org)</f>
        <v>КГУП "Примтеплоэнерго"</v>
      </c>
      <c r="G6" s="2422"/>
      <c r="H6" s="2422"/>
      <c r="I6" s="2422"/>
      <c r="J6" s="2422"/>
      <c r="K6" s="2422"/>
      <c r="M6" s="804"/>
      <c r="AB6" s="1372"/>
    </row>
    <row r="8" customHeight="1" ht="10.5">
      <c r="A8" s="1274"/>
      <c r="B8" s="1274"/>
      <c r="C8" s="1274"/>
      <c r="F8" s="2237" t="s">
        <v>406</v>
      </c>
      <c r="G8" s="2238"/>
      <c r="H8" s="2238"/>
      <c r="I8" s="2238"/>
      <c r="J8" s="2238"/>
      <c r="K8" s="2238"/>
      <c r="L8" s="2238"/>
      <c r="M8" s="2238"/>
      <c r="N8" s="2238"/>
      <c r="O8" s="2238"/>
      <c r="P8" s="2238"/>
      <c r="Q8" s="2238"/>
      <c r="R8" s="2238"/>
      <c r="S8" s="2238"/>
      <c r="T8" s="2238"/>
      <c r="U8" s="2238"/>
      <c r="V8" s="2238"/>
      <c r="W8" s="2238"/>
      <c r="X8" s="2238"/>
      <c r="Y8" s="2238"/>
      <c r="Z8" s="2238"/>
      <c r="AA8" s="2238"/>
      <c r="AB8" s="2239"/>
    </row>
    <row customHeight="1" ht="41.25">
      <c r="A9" s="1127"/>
      <c r="B9" s="1127"/>
      <c r="C9" s="1127"/>
      <c r="F9" s="2253" t="s">
        <v>84</v>
      </c>
      <c r="G9" s="2253" t="s">
        <v>987</v>
      </c>
      <c r="H9" s="2310" t="s">
        <v>988</v>
      </c>
      <c r="I9" s="2253" t="s">
        <v>989</v>
      </c>
      <c r="J9" s="2253" t="s">
        <v>990</v>
      </c>
      <c r="K9" s="2253" t="s">
        <v>991</v>
      </c>
      <c r="L9" s="2253" t="s">
        <v>992</v>
      </c>
      <c r="M9" s="2253" t="s">
        <v>993</v>
      </c>
      <c r="N9" s="2343" t="s">
        <v>994</v>
      </c>
      <c r="O9" s="2343"/>
      <c r="P9" s="2343"/>
      <c r="Q9" s="2526" t="s">
        <v>995</v>
      </c>
      <c r="R9" s="2527"/>
      <c r="S9" s="2527"/>
      <c r="T9" s="2528"/>
      <c r="U9" s="2526" t="s">
        <v>996</v>
      </c>
      <c r="V9" s="2527"/>
      <c r="W9" s="2527"/>
      <c r="X9" s="2528"/>
      <c r="Y9" s="2237" t="s">
        <v>997</v>
      </c>
      <c r="Z9" s="2238"/>
      <c r="AA9" s="2238"/>
      <c r="AB9" s="2239"/>
    </row>
    <row customHeight="1" ht="41.25">
      <c r="A10" s="1127"/>
      <c r="B10" s="1127"/>
      <c r="C10" s="1127"/>
      <c r="F10" s="2310"/>
      <c r="G10" s="2310"/>
      <c r="H10" s="2371"/>
      <c r="I10" s="2310"/>
      <c r="J10" s="2310"/>
      <c r="K10" s="2310"/>
      <c r="L10" s="2310"/>
      <c r="M10" s="2310"/>
      <c r="N10" s="1125" t="s">
        <v>998</v>
      </c>
      <c r="O10" s="1125" t="s">
        <v>999</v>
      </c>
      <c r="P10" s="1126" t="s">
        <v>1000</v>
      </c>
      <c r="Q10" s="1137" t="s">
        <v>85</v>
      </c>
      <c r="R10" s="1137" t="s">
        <v>1001</v>
      </c>
      <c r="S10" s="1137" t="s">
        <v>1002</v>
      </c>
      <c r="T10" s="1138" t="s">
        <v>1003</v>
      </c>
      <c r="U10" s="1137" t="s">
        <v>85</v>
      </c>
      <c r="V10" s="1137" t="s">
        <v>1004</v>
      </c>
      <c r="W10" s="1137" t="s">
        <v>1002</v>
      </c>
      <c r="X10" s="1138" t="s">
        <v>1003</v>
      </c>
      <c r="Y10" s="523" t="s">
        <v>1005</v>
      </c>
      <c r="Z10" s="2237" t="s">
        <v>84</v>
      </c>
      <c r="AA10" s="2239"/>
      <c r="AB10" s="1272" t="s">
        <v>1006</v>
      </c>
    </row>
    <row s="16622" customFormat="1" customHeight="1" ht="5.25" hidden="1">
      <c r="A11" s="1275"/>
      <c r="B11" s="1275"/>
      <c r="C11" s="1275"/>
      <c r="E11" s="1273"/>
      <c r="F11" s="2524" t="s">
        <v>482</v>
      </c>
      <c r="G11" s="2529"/>
      <c r="H11" s="2522"/>
      <c r="I11" s="2522"/>
      <c r="J11" s="2522"/>
      <c r="K11" s="2525"/>
      <c r="L11" s="2525"/>
      <c r="M11" s="2525"/>
      <c r="N11" s="2522"/>
      <c r="O11" s="2522"/>
      <c r="P11" s="2253"/>
      <c r="Q11" s="2323"/>
      <c r="R11" s="2323"/>
      <c r="S11" s="2323"/>
      <c r="T11" s="2522"/>
      <c r="U11" s="2323"/>
      <c r="V11" s="2323"/>
      <c r="W11" s="2323"/>
      <c r="X11" s="2522"/>
      <c r="Y11" s="2264"/>
      <c r="Z11" s="2264"/>
      <c r="AA11" s="2264"/>
      <c r="AB11" s="2264"/>
      <c r="AD11" s="733" t="s">
        <v>1007</v>
      </c>
    </row>
    <row s="16622" customFormat="1" customHeight="1" ht="5.25" hidden="1">
      <c r="A12" s="1118"/>
      <c r="B12" s="1118"/>
      <c r="C12" s="1118"/>
      <c r="E12" s="740"/>
      <c r="F12" s="2524"/>
      <c r="G12" s="2529"/>
      <c r="H12" s="2522"/>
      <c r="I12" s="2522"/>
      <c r="J12" s="2522"/>
      <c r="K12" s="2525"/>
      <c r="L12" s="2525"/>
      <c r="M12" s="2525"/>
      <c r="N12" s="2522"/>
      <c r="O12" s="2522"/>
      <c r="P12" s="2253"/>
      <c r="Q12" s="2323"/>
      <c r="R12" s="2323"/>
      <c r="S12" s="2323"/>
      <c r="T12" s="2522"/>
      <c r="U12" s="2323"/>
      <c r="V12" s="2323"/>
      <c r="W12" s="2323"/>
      <c r="X12" s="2522"/>
      <c r="Y12" s="2523"/>
      <c r="Z12" s="2523"/>
      <c r="AA12" s="2523"/>
      <c r="AB12" s="2523"/>
    </row>
    <row customHeight="1" ht="10.5">
      <c r="F13" s="1124"/>
      <c r="G13" s="872" t="s">
        <v>1008</v>
      </c>
      <c r="H13" s="1392"/>
      <c r="I13" s="794"/>
      <c r="J13" s="794"/>
      <c r="K13" s="794"/>
      <c r="L13" s="794"/>
      <c r="M13" s="794"/>
      <c r="N13" s="794"/>
      <c r="O13" s="794"/>
      <c r="P13" s="794"/>
      <c r="Q13" s="794"/>
      <c r="R13" s="794"/>
      <c r="S13" s="794"/>
      <c r="T13" s="794"/>
      <c r="U13" s="794"/>
      <c r="V13" s="794"/>
      <c r="W13" s="794"/>
      <c r="X13" s="794"/>
      <c r="Y13" s="794"/>
      <c r="Z13" s="918"/>
      <c r="AA13" s="918"/>
      <c r="AB13" s="1139"/>
    </row>
    <row r="15" s="16622" customFormat="1" customHeight="1" ht="10.5">
      <c r="A15" s="1391"/>
      <c r="B15" s="1391"/>
      <c r="C15" s="1391"/>
      <c r="E15" s="740"/>
      <c r="H15" s="733">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1ECB9D-9D6A-69E6-3A19-240A16EC7889}"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22048" width="4.140625" hidden="1" customWidth="1"/>
    <col min="4" max="4" style="15862" width="4.140625" hidden="1" customWidth="1"/>
    <col min="5" max="5" style="21835" width="3.7109375" customWidth="1"/>
    <col min="6" max="6" style="15861" width="14.421875" customWidth="1"/>
    <col min="7" max="7" style="15861" width="3.7109375" customWidth="1"/>
    <col min="8" max="8" style="16635" width="7.7109375" customWidth="1"/>
    <col min="9" max="10" style="15861" width="16.7109375" customWidth="1"/>
    <col min="11" max="11" style="15861" width="25.7109375" customWidth="1"/>
    <col min="12" max="12" style="22078" width="8.00390625" customWidth="1"/>
    <col min="13" max="13" style="22078" width="15.57421875" customWidth="1"/>
    <col min="14" max="14" style="15861" width="3.28125" customWidth="1"/>
    <col min="15" max="15" style="15861" width="4.7109375" customWidth="1"/>
    <col min="16" max="16" style="15861" width="9.00390625" customWidth="1"/>
    <col min="17" max="17" style="15861" width="21.7109375" customWidth="1"/>
    <col min="18" max="18" style="15861" width="14.7109375" customWidth="1"/>
    <col min="19" max="20" style="15861" width="17.7109375" customWidth="1"/>
    <col min="21" max="21" style="15861" width="9.7109375" customWidth="1"/>
    <col min="22" max="22" style="15861" width="12.7109375" customWidth="1"/>
    <col min="23" max="23" style="15861" width="9.7109375" customWidth="1"/>
    <col min="24" max="24" style="15861" width="21.7109375" customWidth="1"/>
    <col min="25" max="25" style="15861" width="12.7109375" customWidth="1"/>
    <col min="26" max="26" style="15861" width="3.28125" customWidth="1"/>
    <col min="27" max="27" style="15861" width="7.140625" customWidth="1"/>
    <col min="28" max="28" style="15861" width="38.421875" customWidth="1"/>
    <col min="29" max="29" style="15861" width="15.7109375" customWidth="1"/>
    <col min="30" max="30" style="22078" width="37.57421875" hidden="1" customWidth="1"/>
    <col min="31" max="31" style="15861" width="15.7109375" hidden="1" customWidth="1"/>
    <col min="32" max="33" style="15861" width="16.7109375" customWidth="1"/>
    <col min="34" max="34" style="22100" width="16.7109375" customWidth="1"/>
    <col min="35" max="35" style="22101" width="16.7109375" hidden="1" customWidth="1"/>
    <col min="36" max="37" style="15861" width="16.7109375" hidden="1" customWidth="1"/>
    <col min="38" max="58" style="15861" width="9.140625"/>
  </cols>
  <sheetData>
    <row s="15862" customFormat="1" customHeight="1" ht="10.5" hidden="1">
      <c r="A1" s="1117"/>
      <c r="B1" s="1117"/>
      <c r="C1" s="1117"/>
      <c r="E1" s="759"/>
      <c r="H1" s="1384"/>
      <c r="L1" s="1352"/>
      <c r="M1" s="1352"/>
      <c r="AD1" s="1352"/>
      <c r="AH1" s="1371"/>
      <c r="AI1" s="1364"/>
    </row>
    <row customHeight="1" ht="10.5" hidden="1"/>
    <row s="22025" customFormat="1" customHeight="1" ht="10.5" hidden="1">
      <c r="A3" s="1117"/>
      <c r="B3" s="1117"/>
      <c r="C3" s="1117"/>
      <c r="D3" s="639"/>
      <c r="E3" s="584"/>
      <c r="H3" s="1380"/>
      <c r="L3" s="1350"/>
      <c r="M3" s="1350"/>
      <c r="AD3" s="1350"/>
      <c r="AH3" s="1369"/>
      <c r="AI3" s="1362"/>
    </row>
    <row customHeight="1" ht="3"/>
    <row customHeight="1" ht="25.5">
      <c r="F5" s="2421" t="str">
        <f>IP_NAME_FORM</f>
        <v>Форма 7. Информация об инвестиционных программах организации горячего водоснабжения и отчетах об их исполнении</v>
      </c>
      <c r="G5" s="2421"/>
      <c r="H5" s="2421"/>
      <c r="I5" s="2421"/>
      <c r="J5" s="2421"/>
      <c r="K5" s="2421"/>
      <c r="L5" s="1359"/>
      <c r="M5" s="1359"/>
      <c r="AG5" s="1128"/>
      <c r="AH5" s="1372"/>
    </row>
    <row customHeight="1" ht="10.5">
      <c r="F6" s="2335" t="str">
        <f>IF(org=0,"Не определено",org)</f>
        <v>КГУП "Примтеплоэнерго"</v>
      </c>
      <c r="G6" s="2335"/>
      <c r="H6" s="2335"/>
      <c r="I6" s="2335"/>
      <c r="J6" s="2335"/>
      <c r="K6" s="2335"/>
      <c r="L6" s="1360"/>
      <c r="M6" s="1360"/>
    </row>
    <row customHeight="1" ht="11.25">
      <c r="E7" s="1130"/>
      <c r="F7" s="1141"/>
      <c r="G7" s="1141"/>
      <c r="H7" s="1410"/>
      <c r="I7" s="1141"/>
      <c r="J7" s="1141"/>
      <c r="K7" s="1143"/>
      <c r="L7" s="1357"/>
      <c r="M7" s="1357"/>
      <c r="N7" s="1141"/>
      <c r="O7" s="1141"/>
      <c r="P7" s="1141"/>
      <c r="Q7" s="1143"/>
      <c r="R7" s="1141"/>
      <c r="S7" s="1141"/>
      <c r="T7" s="1141"/>
      <c r="U7" s="1141"/>
      <c r="V7" s="1141"/>
      <c r="W7" s="1141"/>
      <c r="X7" s="1141"/>
      <c r="Y7" s="1141"/>
      <c r="Z7" s="1141"/>
      <c r="AA7" s="1141"/>
      <c r="AB7" s="1141"/>
      <c r="AC7" s="1142"/>
      <c r="AD7" s="1356"/>
      <c r="AE7" s="1142"/>
      <c r="AF7" s="1141"/>
      <c r="AG7" s="1141"/>
      <c r="AH7" s="1374"/>
      <c r="AI7" s="1367"/>
      <c r="AJ7" s="1141"/>
      <c r="AK7" s="1141"/>
      <c r="AL7" s="1132"/>
      <c r="AM7" s="1132"/>
      <c r="AN7" s="1132"/>
      <c r="AO7" s="1129"/>
      <c r="AP7" s="1129"/>
      <c r="AQ7" s="1129"/>
      <c r="AR7" s="1129"/>
      <c r="AS7" s="1129"/>
      <c r="AT7" s="1129"/>
      <c r="AU7" s="1129"/>
      <c r="AV7" s="1129"/>
      <c r="AW7" s="1129"/>
      <c r="AX7" s="1129"/>
      <c r="AY7" s="1129"/>
      <c r="AZ7" s="1129"/>
      <c r="BA7" s="1129"/>
      <c r="BB7" s="1129"/>
      <c r="BC7" s="1129"/>
      <c r="BD7" s="1129"/>
      <c r="BE7" s="1129"/>
      <c r="BF7" s="1129"/>
    </row>
    <row customHeight="1" ht="10.5">
      <c r="E8" s="1130"/>
      <c r="F8" s="2539" t="s">
        <v>406</v>
      </c>
      <c r="G8" s="2540"/>
      <c r="H8" s="2540"/>
      <c r="I8" s="2540"/>
      <c r="J8" s="2540"/>
      <c r="K8" s="2540"/>
      <c r="L8" s="2540"/>
      <c r="M8" s="2540"/>
      <c r="N8" s="2540"/>
      <c r="O8" s="2540"/>
      <c r="P8" s="2540"/>
      <c r="Q8" s="2540"/>
      <c r="R8" s="2540"/>
      <c r="S8" s="2540"/>
      <c r="T8" s="2540"/>
      <c r="U8" s="2540"/>
      <c r="V8" s="2540"/>
      <c r="W8" s="2540"/>
      <c r="X8" s="2540"/>
      <c r="Y8" s="2540"/>
      <c r="Z8" s="2540"/>
      <c r="AA8" s="2540"/>
      <c r="AB8" s="2540"/>
      <c r="AC8" s="2540"/>
      <c r="AD8" s="2540"/>
      <c r="AE8" s="2540"/>
      <c r="AF8" s="2540"/>
      <c r="AG8" s="2540"/>
      <c r="AH8" s="2540"/>
      <c r="AI8" s="2540"/>
      <c r="AJ8" s="2540"/>
      <c r="AK8" s="2541"/>
      <c r="AL8" s="1131"/>
      <c r="AM8" s="1129"/>
      <c r="AN8" s="1129"/>
      <c r="AO8" s="1129"/>
      <c r="AP8" s="1129"/>
      <c r="AQ8" s="1129"/>
      <c r="AR8" s="1129"/>
      <c r="AS8" s="1129"/>
      <c r="AT8" s="1129"/>
      <c r="AU8" s="1129"/>
      <c r="AV8" s="1129"/>
      <c r="AW8" s="1129"/>
      <c r="AX8" s="1129"/>
      <c r="AY8" s="1129"/>
      <c r="AZ8" s="1129"/>
      <c r="BA8" s="1129"/>
      <c r="BB8" s="1129"/>
      <c r="BC8" s="1129"/>
      <c r="BD8" s="1129"/>
      <c r="BE8" s="1129"/>
      <c r="BF8" s="1129"/>
    </row>
    <row customHeight="1" ht="23.25">
      <c r="A9" s="1127"/>
      <c r="B9" s="1127"/>
      <c r="C9" s="1127"/>
      <c r="E9" s="1130"/>
      <c r="F9" s="2532" t="s">
        <v>1009</v>
      </c>
      <c r="G9" s="2533" t="s">
        <v>1010</v>
      </c>
      <c r="H9" s="2534"/>
      <c r="I9" s="2253" t="s">
        <v>1011</v>
      </c>
      <c r="J9" s="2253"/>
      <c r="K9" s="2253" t="s">
        <v>1012</v>
      </c>
      <c r="L9" s="2253"/>
      <c r="M9" s="2253"/>
      <c r="N9" s="2253"/>
      <c r="O9" s="2253"/>
      <c r="P9" s="2253"/>
      <c r="Q9" s="2253"/>
      <c r="R9" s="2253"/>
      <c r="S9" s="2253"/>
      <c r="T9" s="2253"/>
      <c r="U9" s="2253"/>
      <c r="V9" s="2253"/>
      <c r="W9" s="2253"/>
      <c r="X9" s="2253"/>
      <c r="Y9" s="2253"/>
      <c r="Z9" s="2311" t="s">
        <v>1013</v>
      </c>
      <c r="AA9" s="2312"/>
      <c r="AB9" s="2253" t="s">
        <v>1014</v>
      </c>
      <c r="AC9" s="2253"/>
      <c r="AD9" s="2253"/>
      <c r="AE9" s="2253"/>
      <c r="AF9" s="2310" t="s">
        <v>1015</v>
      </c>
      <c r="AG9" s="2253" t="s">
        <v>1016</v>
      </c>
      <c r="AH9" s="2253"/>
      <c r="AI9" s="2310" t="s">
        <v>1017</v>
      </c>
      <c r="AJ9" s="2253" t="s">
        <v>1018</v>
      </c>
      <c r="AK9" s="2253"/>
      <c r="AL9" s="1366"/>
      <c r="AM9" s="1129"/>
      <c r="AN9" s="1129"/>
      <c r="AO9" s="1129"/>
      <c r="AP9" s="1129"/>
      <c r="AQ9" s="1129"/>
      <c r="AR9" s="1129"/>
      <c r="AS9" s="1129"/>
      <c r="AT9" s="1129"/>
      <c r="AU9" s="1129"/>
      <c r="AV9" s="1129"/>
      <c r="AW9" s="1129"/>
      <c r="AX9" s="1129"/>
      <c r="AY9" s="1129"/>
      <c r="AZ9" s="1129"/>
      <c r="BA9" s="1129"/>
      <c r="BB9" s="1129"/>
      <c r="BC9" s="1129"/>
      <c r="BD9" s="1129"/>
      <c r="BE9" s="1129"/>
      <c r="BF9" s="1129"/>
    </row>
    <row customHeight="1" ht="23.25">
      <c r="A10" s="1127"/>
      <c r="B10" s="1127"/>
      <c r="C10" s="1127"/>
      <c r="E10" s="1134"/>
      <c r="F10" s="2532"/>
      <c r="G10" s="2535"/>
      <c r="H10" s="2536"/>
      <c r="I10" s="2253"/>
      <c r="J10" s="2253"/>
      <c r="K10" s="2253" t="s">
        <v>1019</v>
      </c>
      <c r="L10" s="2237" t="s">
        <v>1020</v>
      </c>
      <c r="M10" s="2239"/>
      <c r="N10" s="2253" t="s">
        <v>1021</v>
      </c>
      <c r="O10" s="2253"/>
      <c r="P10" s="2253"/>
      <c r="Q10" s="2253"/>
      <c r="R10" s="2253"/>
      <c r="S10" s="2253"/>
      <c r="T10" s="2253"/>
      <c r="U10" s="2253"/>
      <c r="V10" s="2253"/>
      <c r="W10" s="2253"/>
      <c r="X10" s="2253"/>
      <c r="Y10" s="2253"/>
      <c r="Z10" s="2313"/>
      <c r="AA10" s="2314"/>
      <c r="AB10" s="2253"/>
      <c r="AC10" s="2253"/>
      <c r="AD10" s="2253"/>
      <c r="AE10" s="2253"/>
      <c r="AF10" s="2318"/>
      <c r="AG10" s="2253"/>
      <c r="AH10" s="2253"/>
      <c r="AI10" s="2318"/>
      <c r="AJ10" s="2253"/>
      <c r="AK10" s="2253"/>
      <c r="AL10" s="1366"/>
      <c r="AM10" s="1135"/>
      <c r="AN10" s="1135"/>
      <c r="AO10" s="1135"/>
      <c r="AP10" s="1135"/>
      <c r="AQ10" s="1135"/>
      <c r="AR10" s="1135"/>
      <c r="AS10" s="1135"/>
      <c r="AT10" s="1135"/>
      <c r="AU10" s="1135"/>
      <c r="AV10" s="1135"/>
      <c r="AW10" s="1135"/>
      <c r="AX10" s="1135"/>
      <c r="AY10" s="1135"/>
      <c r="AZ10" s="1135"/>
      <c r="BA10" s="1135"/>
      <c r="BB10" s="1135"/>
      <c r="BC10" s="1135"/>
      <c r="BD10" s="1135"/>
      <c r="BE10" s="1135"/>
      <c r="BF10" s="1135"/>
    </row>
    <row s="22078" customFormat="1" customHeight="1" ht="23.25">
      <c r="A11" s="1353"/>
      <c r="B11" s="1353"/>
      <c r="C11" s="1353"/>
      <c r="D11" s="1352"/>
      <c r="E11" s="1354"/>
      <c r="F11" s="2532"/>
      <c r="G11" s="2535"/>
      <c r="H11" s="2536"/>
      <c r="I11" s="2253"/>
      <c r="J11" s="2253"/>
      <c r="K11" s="2253"/>
      <c r="L11" s="2310" t="s">
        <v>1022</v>
      </c>
      <c r="M11" s="2310" t="s">
        <v>1023</v>
      </c>
      <c r="N11" s="2253" t="s">
        <v>1024</v>
      </c>
      <c r="O11" s="2253"/>
      <c r="P11" s="2530" t="s">
        <v>1005</v>
      </c>
      <c r="Q11" s="2530" t="s">
        <v>1025</v>
      </c>
      <c r="R11" s="2530" t="s">
        <v>1026</v>
      </c>
      <c r="S11" s="2530" t="s">
        <v>1027</v>
      </c>
      <c r="T11" s="2530"/>
      <c r="U11" s="2530"/>
      <c r="V11" s="2530"/>
      <c r="W11" s="2530"/>
      <c r="X11" s="2530"/>
      <c r="Y11" s="2530"/>
      <c r="Z11" s="2313"/>
      <c r="AA11" s="2314"/>
      <c r="AB11" s="2253" t="s">
        <v>1028</v>
      </c>
      <c r="AC11" s="2253"/>
      <c r="AD11" s="2237" t="s">
        <v>1029</v>
      </c>
      <c r="AE11" s="2239"/>
      <c r="AF11" s="2318"/>
      <c r="AG11" s="2253"/>
      <c r="AH11" s="2253"/>
      <c r="AI11" s="2318"/>
      <c r="AJ11" s="2253"/>
      <c r="AK11" s="2253"/>
      <c r="AL11" s="1366"/>
      <c r="AM11" s="1351"/>
      <c r="AN11" s="1351"/>
      <c r="AO11" s="1351"/>
      <c r="AP11" s="1351"/>
      <c r="AQ11" s="1351"/>
      <c r="AR11" s="1351"/>
      <c r="AS11" s="1351"/>
      <c r="AT11" s="1351"/>
      <c r="AU11" s="1351"/>
      <c r="AV11" s="1351"/>
      <c r="AW11" s="1351"/>
      <c r="AX11" s="1351"/>
      <c r="AY11" s="1351"/>
      <c r="AZ11" s="1351"/>
      <c r="BA11" s="1351"/>
      <c r="BB11" s="1351"/>
      <c r="BC11" s="1351"/>
      <c r="BD11" s="1351"/>
      <c r="BE11" s="1351"/>
      <c r="BF11" s="1351"/>
    </row>
    <row customHeight="1" ht="33.75">
      <c r="A12" s="1127"/>
      <c r="B12" s="1127"/>
      <c r="C12" s="1127"/>
      <c r="E12" s="1130"/>
      <c r="F12" s="2532"/>
      <c r="G12" s="2537"/>
      <c r="H12" s="2538"/>
      <c r="I12" s="1377" t="s">
        <v>85</v>
      </c>
      <c r="J12" s="1377" t="s">
        <v>1030</v>
      </c>
      <c r="K12" s="2253"/>
      <c r="L12" s="2371"/>
      <c r="M12" s="2371"/>
      <c r="N12" s="2253"/>
      <c r="O12" s="2253"/>
      <c r="P12" s="2530"/>
      <c r="Q12" s="2530"/>
      <c r="R12" s="2530"/>
      <c r="S12" s="1358" t="s">
        <v>82</v>
      </c>
      <c r="T12" s="1358" t="s">
        <v>83</v>
      </c>
      <c r="U12" s="1358" t="s">
        <v>81</v>
      </c>
      <c r="V12" s="1358" t="s">
        <v>1031</v>
      </c>
      <c r="W12" s="1358" t="s">
        <v>81</v>
      </c>
      <c r="X12" s="1358" t="s">
        <v>1032</v>
      </c>
      <c r="Y12" s="1358" t="s">
        <v>1033</v>
      </c>
      <c r="Z12" s="2319"/>
      <c r="AA12" s="2320"/>
      <c r="AB12" s="1365" t="s">
        <v>1034</v>
      </c>
      <c r="AC12" s="1365" t="s">
        <v>1035</v>
      </c>
      <c r="AD12" s="1365" t="s">
        <v>1034</v>
      </c>
      <c r="AE12" s="1365" t="s">
        <v>1035</v>
      </c>
      <c r="AF12" s="2371"/>
      <c r="AG12" s="1378" t="s">
        <v>1036</v>
      </c>
      <c r="AH12" s="1378" t="s">
        <v>1037</v>
      </c>
      <c r="AI12" s="2371"/>
      <c r="AJ12" s="1378" t="s">
        <v>1036</v>
      </c>
      <c r="AK12" s="1378" t="s">
        <v>1037</v>
      </c>
      <c r="AL12" s="1366"/>
      <c r="AM12" s="1129"/>
      <c r="AN12" s="1129"/>
      <c r="AO12" s="1129"/>
      <c r="AP12" s="1129"/>
      <c r="AQ12" s="1129"/>
      <c r="AR12" s="1129"/>
      <c r="AS12" s="1129"/>
      <c r="AT12" s="1129"/>
      <c r="AU12" s="1129"/>
      <c r="AV12" s="1129"/>
      <c r="AW12" s="1129"/>
      <c r="AX12" s="1129"/>
      <c r="AY12" s="1129"/>
      <c r="AZ12" s="1129"/>
      <c r="BA12" s="1129"/>
      <c r="BB12" s="1129"/>
      <c r="BC12" s="1129"/>
      <c r="BD12" s="1129"/>
      <c r="BE12" s="1129"/>
      <c r="BF12" s="1129"/>
    </row>
    <row customHeight="1" ht="0.75">
      <c r="E13" s="1130"/>
      <c r="F13" s="1348">
        <v>0</v>
      </c>
      <c r="G13" s="1348"/>
      <c r="H13" s="1348"/>
      <c r="I13" s="1348"/>
      <c r="J13" s="1348"/>
      <c r="K13" s="1355"/>
      <c r="L13" s="1355"/>
      <c r="M13" s="1355"/>
      <c r="N13" s="1355"/>
      <c r="O13" s="1355"/>
      <c r="P13" s="1355"/>
      <c r="Q13" s="1355"/>
      <c r="R13" s="1355"/>
      <c r="S13" s="1355"/>
      <c r="T13" s="1355"/>
      <c r="U13" s="1355"/>
      <c r="V13" s="1355"/>
      <c r="W13" s="1355"/>
      <c r="X13" s="1355"/>
      <c r="Y13" s="1355"/>
      <c r="Z13" s="1355"/>
      <c r="AA13" s="1355"/>
      <c r="AB13" s="1355"/>
      <c r="AC13" s="1355"/>
      <c r="AD13" s="1355"/>
      <c r="AE13" s="1355"/>
      <c r="AF13" s="1355"/>
      <c r="AG13" s="1355"/>
      <c r="AH13" s="1373"/>
      <c r="AI13" s="1366"/>
      <c r="AJ13" s="1355"/>
      <c r="AK13" s="1355"/>
      <c r="AL13" s="1131"/>
      <c r="AM13" s="1129"/>
      <c r="AN13" s="1129"/>
      <c r="AO13" s="1129"/>
      <c r="AP13" s="1129"/>
      <c r="AQ13" s="1129"/>
      <c r="AR13" s="1129"/>
      <c r="AS13" s="1129"/>
      <c r="AT13" s="1129"/>
      <c r="AU13" s="1129"/>
      <c r="AV13" s="1129"/>
      <c r="AW13" s="1129"/>
      <c r="AX13" s="1129"/>
      <c r="AY13" s="1129"/>
      <c r="AZ13" s="1129"/>
      <c r="BA13" s="1129"/>
      <c r="BB13" s="1129"/>
      <c r="BC13" s="1129"/>
      <c r="BD13" s="1129"/>
      <c r="BE13" s="1129"/>
      <c r="BF13" s="1129"/>
    </row>
    <row customHeight="1" ht="10.5">
      <c r="E14" s="1129"/>
      <c r="F14" s="1140"/>
      <c r="G14" s="1140"/>
      <c r="H14" s="1397"/>
      <c r="I14" s="1140"/>
      <c r="J14" s="1140"/>
      <c r="K14" s="1140"/>
      <c r="L14" s="1355"/>
      <c r="M14" s="1355"/>
      <c r="N14" s="1140"/>
      <c r="O14" s="1140"/>
      <c r="P14" s="1140"/>
      <c r="Q14" s="1140"/>
      <c r="R14" s="1140"/>
      <c r="S14" s="1140"/>
      <c r="T14" s="1140"/>
      <c r="U14" s="1140"/>
      <c r="V14" s="1140"/>
      <c r="W14" s="1140"/>
      <c r="X14" s="1140"/>
      <c r="Y14" s="1140"/>
      <c r="Z14" s="1140"/>
      <c r="AA14" s="1140"/>
      <c r="AB14" s="1140"/>
      <c r="AC14" s="1140"/>
      <c r="AD14" s="1355"/>
      <c r="AE14" s="1140"/>
      <c r="AF14" s="1140"/>
      <c r="AG14" s="1140"/>
      <c r="AH14" s="1373"/>
      <c r="AI14" s="1366"/>
      <c r="AJ14" s="1140"/>
      <c r="AK14" s="1140"/>
      <c r="AL14" s="1129"/>
      <c r="AM14" s="1129"/>
      <c r="AN14" s="1129"/>
      <c r="AO14" s="1129"/>
      <c r="AP14" s="1129"/>
      <c r="AQ14" s="1129"/>
      <c r="AR14" s="1129"/>
      <c r="AS14" s="1129"/>
      <c r="AT14" s="1129"/>
      <c r="AU14" s="1129"/>
      <c r="AV14" s="1129"/>
      <c r="AW14" s="1129"/>
      <c r="AX14" s="1129"/>
      <c r="AY14" s="1129"/>
      <c r="AZ14" s="1129"/>
      <c r="BA14" s="1129"/>
      <c r="BB14" s="1129"/>
      <c r="BC14" s="1129"/>
      <c r="BD14" s="1129"/>
      <c r="BE14" s="1129"/>
      <c r="BF14" s="1129"/>
    </row>
    <row customHeight="1" ht="12.75">
      <c r="E15" s="1129"/>
      <c r="F15" s="1136" t="s">
        <v>1038</v>
      </c>
      <c r="G15" s="1136"/>
      <c r="H15" s="1396"/>
      <c r="I15" s="1136"/>
      <c r="J15" s="1136"/>
      <c r="K15" s="1133"/>
      <c r="L15" s="1351"/>
      <c r="M15" s="1351"/>
      <c r="N15" s="1135"/>
      <c r="O15" s="1135"/>
      <c r="P15" s="1135"/>
      <c r="Q15" s="1135"/>
      <c r="R15" s="1135"/>
      <c r="S15" s="1135"/>
      <c r="T15" s="1135"/>
      <c r="U15" s="1135"/>
      <c r="V15" s="1135"/>
      <c r="W15" s="1135"/>
      <c r="X15" s="1135"/>
      <c r="Y15" s="1135"/>
      <c r="Z15" s="1133"/>
      <c r="AA15" s="1133"/>
      <c r="AB15" s="1133"/>
      <c r="AC15" s="1133"/>
      <c r="AD15" s="1351"/>
      <c r="AE15" s="1133"/>
      <c r="AF15" s="1133"/>
      <c r="AG15" s="1133"/>
      <c r="AH15" s="1370"/>
      <c r="AI15" s="1363"/>
      <c r="AJ15" s="1133"/>
      <c r="AK15" s="1133"/>
      <c r="AL15" s="1129"/>
      <c r="AM15" s="1129"/>
      <c r="AN15" s="1129"/>
      <c r="AO15" s="1129"/>
      <c r="AP15" s="1129"/>
      <c r="AQ15" s="1129"/>
      <c r="AR15" s="1129"/>
      <c r="AS15" s="1129"/>
      <c r="AT15" s="1129"/>
      <c r="AU15" s="1129"/>
      <c r="AV15" s="1129"/>
      <c r="AW15" s="1129"/>
      <c r="AX15" s="1129"/>
      <c r="AY15" s="1129"/>
      <c r="AZ15" s="1129"/>
      <c r="BA15" s="1129"/>
      <c r="BB15" s="1129"/>
      <c r="BC15" s="1129"/>
      <c r="BD15" s="1129"/>
      <c r="BE15" s="1129"/>
      <c r="BF15" s="1129"/>
    </row>
    <row r="17" customHeight="1" ht="10.5">
      <c r="E17" s="1129"/>
      <c r="F17" s="2531"/>
      <c r="G17" s="2531"/>
      <c r="H17" s="2531"/>
      <c r="I17" s="2531"/>
      <c r="J17" s="2531"/>
      <c r="K17" s="1133"/>
      <c r="L17" s="1351"/>
      <c r="M17" s="1351"/>
      <c r="N17" s="1135"/>
      <c r="O17" s="1135"/>
      <c r="P17" s="1135"/>
      <c r="Q17" s="1135"/>
      <c r="R17" s="1135"/>
      <c r="S17" s="1135"/>
      <c r="T17" s="1135"/>
      <c r="U17" s="1135"/>
      <c r="V17" s="1135"/>
      <c r="W17" s="1135"/>
      <c r="X17" s="1135"/>
      <c r="Y17" s="1135"/>
      <c r="Z17" s="1133"/>
      <c r="AA17" s="1133"/>
      <c r="AB17" s="1133"/>
      <c r="AC17" s="1133"/>
      <c r="AD17" s="1351"/>
      <c r="AE17" s="1133"/>
      <c r="AF17" s="1133"/>
      <c r="AG17" s="1133"/>
      <c r="AH17" s="1370"/>
      <c r="AI17" s="1363"/>
      <c r="AJ17" s="1133"/>
      <c r="AK17" s="1133"/>
      <c r="AL17" s="1129"/>
      <c r="AM17" s="1129"/>
      <c r="AN17" s="1129"/>
      <c r="AO17" s="1129"/>
      <c r="AP17" s="1129"/>
      <c r="AQ17" s="1129"/>
      <c r="AR17" s="1129"/>
      <c r="AS17" s="1129"/>
      <c r="AT17" s="1129"/>
      <c r="AU17" s="1129"/>
      <c r="AV17" s="1129"/>
      <c r="AW17" s="1129"/>
      <c r="AX17" s="1129"/>
      <c r="AY17" s="1129"/>
      <c r="AZ17" s="1129"/>
      <c r="BA17" s="1129"/>
      <c r="BB17" s="1129"/>
      <c r="BC17" s="1129"/>
      <c r="BD17" s="1129"/>
      <c r="BE17" s="1129"/>
      <c r="BF17" s="1129"/>
    </row>
    <row customHeight="1" ht="10.5">
      <c r="E18" s="1129"/>
      <c r="F18" s="2531"/>
      <c r="G18" s="2531"/>
      <c r="H18" s="2531"/>
      <c r="I18" s="2531"/>
      <c r="J18" s="2531"/>
      <c r="K18" s="1133"/>
      <c r="L18" s="1351"/>
      <c r="M18" s="1351"/>
      <c r="N18" s="1135"/>
      <c r="O18" s="1135"/>
      <c r="P18" s="1135"/>
      <c r="Q18" s="1135"/>
      <c r="R18" s="1135"/>
      <c r="S18" s="1135"/>
      <c r="T18" s="1135"/>
      <c r="U18" s="1135"/>
      <c r="V18" s="1135"/>
      <c r="W18" s="1135"/>
      <c r="X18" s="1135"/>
      <c r="Y18" s="1135"/>
      <c r="Z18" s="1133"/>
      <c r="AA18" s="1133"/>
      <c r="AB18" s="1133"/>
      <c r="AC18" s="1133"/>
      <c r="AD18" s="1351"/>
      <c r="AE18" s="1133"/>
      <c r="AF18" s="1133"/>
      <c r="AG18" s="1133"/>
      <c r="AH18" s="1370"/>
      <c r="AI18" s="1363"/>
      <c r="AJ18" s="1133"/>
      <c r="AK18" s="1133"/>
      <c r="AL18" s="1129"/>
      <c r="AM18" s="1129"/>
      <c r="AN18" s="1129"/>
      <c r="AO18" s="1129"/>
      <c r="AP18" s="1129"/>
      <c r="AQ18" s="1129"/>
      <c r="AR18" s="1129"/>
      <c r="AS18" s="1129"/>
      <c r="AT18" s="1129"/>
      <c r="AU18" s="1129"/>
      <c r="AV18" s="1129"/>
      <c r="AW18" s="1129"/>
      <c r="AX18" s="1129"/>
      <c r="AY18" s="1129"/>
      <c r="AZ18" s="1129"/>
      <c r="BA18" s="1129"/>
      <c r="BB18" s="1129"/>
      <c r="BC18" s="1129"/>
      <c r="BD18" s="1129"/>
      <c r="BE18" s="1129"/>
      <c r="BF18" s="1129"/>
    </row>
    <row customHeight="1" ht="10.5">
      <c r="E19" s="1129"/>
      <c r="F19" s="2531"/>
      <c r="G19" s="2531"/>
      <c r="H19" s="2531"/>
      <c r="I19" s="2531"/>
      <c r="J19" s="2531"/>
      <c r="K19" s="1133"/>
      <c r="L19" s="1351"/>
      <c r="M19" s="1351"/>
      <c r="N19" s="1135"/>
      <c r="O19" s="1135"/>
      <c r="P19" s="1135"/>
      <c r="Q19" s="1135"/>
      <c r="R19" s="1135"/>
      <c r="S19" s="1135"/>
      <c r="T19" s="1135"/>
      <c r="U19" s="1135"/>
      <c r="V19" s="1135"/>
      <c r="W19" s="1135"/>
      <c r="X19" s="1135"/>
      <c r="Y19" s="1135"/>
      <c r="Z19" s="1133"/>
      <c r="AA19" s="1133"/>
      <c r="AB19" s="1133"/>
      <c r="AC19" s="1133"/>
      <c r="AD19" s="1351"/>
      <c r="AE19" s="1133"/>
      <c r="AF19" s="1133"/>
      <c r="AG19" s="1133"/>
      <c r="AH19" s="1370"/>
      <c r="AI19" s="1363"/>
      <c r="AJ19" s="1133"/>
      <c r="AK19" s="1133"/>
      <c r="AL19" s="1129"/>
      <c r="AM19" s="1129"/>
      <c r="AN19" s="1129"/>
      <c r="AO19" s="1129"/>
      <c r="AP19" s="1129"/>
      <c r="AQ19" s="1129"/>
      <c r="AR19" s="1129"/>
      <c r="AS19" s="1129"/>
      <c r="AT19" s="1129"/>
      <c r="AU19" s="1129"/>
      <c r="AV19" s="1129"/>
      <c r="AW19" s="1129"/>
      <c r="AX19" s="1129"/>
      <c r="AY19" s="1129"/>
      <c r="AZ19" s="1129"/>
      <c r="BA19" s="1129"/>
      <c r="BB19" s="1129"/>
      <c r="BC19" s="1129"/>
      <c r="BD19" s="1129"/>
      <c r="BE19" s="1129"/>
      <c r="BF19" s="1129"/>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FBB2B7-9A71-44A9-A838-A9152F70F61D}"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22131" width="4.140625" hidden="1" customWidth="1"/>
    <col min="4" max="4" style="16550" width="4.140625" hidden="1" customWidth="1"/>
    <col min="5" max="5" style="21835" width="3.7109375" customWidth="1"/>
    <col min="6" max="6" style="16635" width="6.28125" customWidth="1"/>
    <col min="7" max="7" style="16635" width="60.140625" customWidth="1"/>
    <col min="8" max="9" style="16635" width="21.7109375" hidden="1" customWidth="1"/>
    <col min="10" max="10" style="16635" width="0.140625" customWidth="1"/>
    <col min="11" max="11" style="16635" width="1.7109375" customWidth="1"/>
    <col min="12" max="22" style="16635" width="9.140625"/>
  </cols>
  <sheetData>
    <row s="16550" customFormat="1" customHeight="1" ht="10.5" hidden="1">
      <c r="A1" s="1390"/>
      <c r="B1" s="1390"/>
      <c r="C1" s="1390"/>
      <c r="E1" s="759"/>
    </row>
    <row customHeight="1" ht="10.5" hidden="1"/>
    <row s="22102" customFormat="1" customHeight="1" ht="10.5" hidden="1">
      <c r="A3" s="1390"/>
      <c r="B3" s="1390"/>
      <c r="C3" s="1390"/>
      <c r="D3" s="1384"/>
      <c r="E3" s="584"/>
    </row>
    <row customHeight="1" ht="3"/>
    <row customHeight="1" ht="25.5">
      <c r="F5" s="2421"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421"/>
      <c r="H5" s="2421"/>
      <c r="I5" s="2421"/>
      <c r="J5" s="2421"/>
    </row>
    <row customHeight="1" ht="10.5">
      <c r="F6" s="2335" t="str">
        <f>IF(org=0,"Не определено",org)</f>
        <v>КГУП "Примтеплоэнерго"</v>
      </c>
      <c r="G6" s="2335"/>
      <c r="H6" s="2335"/>
      <c r="I6" s="2335"/>
      <c r="J6" s="2335"/>
    </row>
    <row customHeight="1" ht="11.25">
      <c r="E7" s="1394"/>
      <c r="F7" s="1453"/>
      <c r="G7" s="1453"/>
      <c r="H7" s="1453"/>
      <c r="I7" s="1453"/>
      <c r="J7" s="1453"/>
      <c r="K7" s="1381"/>
      <c r="L7" s="1381"/>
      <c r="M7" s="1381"/>
      <c r="N7" s="1381"/>
      <c r="O7" s="1381"/>
      <c r="P7" s="1381"/>
      <c r="Q7" s="1381"/>
      <c r="R7" s="1381"/>
      <c r="S7" s="1381"/>
      <c r="T7" s="1381"/>
      <c r="U7" s="1381"/>
      <c r="V7" s="1381"/>
    </row>
    <row s="16622" customFormat="1" customHeight="1" ht="5.25">
      <c r="A8" s="1391"/>
      <c r="B8" s="1391"/>
      <c r="C8" s="1391"/>
      <c r="E8" s="1454"/>
      <c r="F8" s="1455"/>
      <c r="G8" s="1455"/>
      <c r="H8" s="1455"/>
      <c r="I8" s="1455"/>
      <c r="J8" s="1455"/>
      <c r="K8" s="1454"/>
      <c r="L8" s="1454"/>
      <c r="M8" s="1454"/>
      <c r="N8" s="1454"/>
      <c r="O8" s="1454"/>
      <c r="P8" s="1454"/>
      <c r="Q8" s="1454"/>
      <c r="R8" s="1454"/>
      <c r="S8" s="1454"/>
      <c r="T8" s="1454"/>
      <c r="U8" s="1454"/>
      <c r="V8" s="1454"/>
    </row>
    <row customHeight="1" ht="10.5">
      <c r="E9" s="1394"/>
      <c r="F9" s="2542" t="s">
        <v>406</v>
      </c>
      <c r="G9" s="2543"/>
      <c r="H9" s="2543"/>
      <c r="I9" s="2543"/>
      <c r="J9" s="2543"/>
      <c r="K9" s="1466"/>
      <c r="L9" s="1381"/>
      <c r="M9" s="1381"/>
      <c r="N9" s="1381"/>
      <c r="O9" s="1381"/>
      <c r="P9" s="1381"/>
      <c r="Q9" s="1381"/>
      <c r="R9" s="1381"/>
      <c r="S9" s="1381"/>
      <c r="T9" s="1381"/>
      <c r="U9" s="1381"/>
      <c r="V9" s="1381"/>
    </row>
    <row customHeight="1" ht="24">
      <c r="E10" s="1381"/>
      <c r="F10" s="2546" t="s">
        <v>84</v>
      </c>
      <c r="G10" s="2551" t="s">
        <v>1039</v>
      </c>
      <c r="H10" s="2549" t="s">
        <v>1040</v>
      </c>
      <c r="I10" s="2549"/>
      <c r="J10" s="2549"/>
      <c r="K10" s="1459"/>
      <c r="L10" s="1381"/>
      <c r="M10" s="1381"/>
      <c r="N10" s="1381"/>
      <c r="O10" s="1381"/>
      <c r="P10" s="1381"/>
      <c r="Q10" s="1381"/>
      <c r="R10" s="1381"/>
      <c r="S10" s="1381"/>
      <c r="T10" s="1381"/>
      <c r="U10" s="1381"/>
      <c r="V10" s="1381"/>
    </row>
    <row customHeight="1" ht="24">
      <c r="E11" s="1381"/>
      <c r="F11" s="2547"/>
      <c r="G11" s="2551"/>
      <c r="H11" s="2550">
        <f>INDEX(IP_MAIN_LIST_NAME_IP,MATCH(H8,IP_MAIN_LIST_IP_ID,0))&amp;" ("&amp;INDEX(IP_MAIN_START_DATE,MATCH(H8,IP_MAIN_LIST_IP_ID,0))&amp;"-"&amp;INDEX(IP_MAIN_END_DATE,MATCH(H8,IP_MAIN_LIST_IP_ID,0))&amp;")"</f>
      </c>
      <c r="I11" s="2550"/>
      <c r="J11" s="2550"/>
      <c r="K11" s="1459"/>
      <c r="L11" s="1381"/>
      <c r="M11" s="1381"/>
      <c r="N11" s="1381"/>
      <c r="O11" s="1381"/>
      <c r="P11" s="1381"/>
      <c r="Q11" s="1381"/>
      <c r="R11" s="1381"/>
      <c r="S11" s="1381"/>
      <c r="T11" s="1381"/>
      <c r="U11" s="1381"/>
      <c r="V11" s="1381"/>
    </row>
    <row customHeight="1" ht="10.5">
      <c r="F12" s="2548"/>
      <c r="G12" s="2551"/>
      <c r="H12" s="1452" t="s">
        <v>1041</v>
      </c>
      <c r="I12" s="1458"/>
      <c r="J12" s="1452"/>
      <c r="K12" s="1460"/>
    </row>
    <row customHeight="1" ht="10.5" hidden="1">
      <c r="F13" s="1452">
        <v>1</v>
      </c>
      <c r="G13" s="1452">
        <v>2</v>
      </c>
      <c r="H13" s="1452">
        <v>3</v>
      </c>
      <c r="I13" s="1452">
        <v>4</v>
      </c>
      <c r="J13" s="1452">
        <v>5</v>
      </c>
      <c r="K13" s="1460"/>
    </row>
    <row customHeight="1" ht="11.25">
      <c r="F14" s="1451" t="s">
        <v>1042</v>
      </c>
      <c r="G14" s="2544" t="s">
        <v>1043</v>
      </c>
      <c r="H14" s="2544"/>
      <c r="I14" s="2544"/>
      <c r="J14" s="2544"/>
      <c r="K14" s="1460"/>
    </row>
    <row customHeight="1" ht="11.25">
      <c r="F15" s="1456">
        <v>1</v>
      </c>
      <c r="G15" s="912" t="s">
        <v>1044</v>
      </c>
      <c r="H15" s="1462">
        <f>SUM(I15:J15)</f>
        <v>0</v>
      </c>
      <c r="I15" s="1462">
        <f>SUM(I16:I27)</f>
        <v>0</v>
      </c>
      <c r="J15" s="1451"/>
      <c r="K15" s="1460"/>
    </row>
    <row customHeight="1" ht="22.5">
      <c r="F16" s="1456" t="s">
        <v>1045</v>
      </c>
      <c r="G16" s="1463" t="s">
        <v>1046</v>
      </c>
      <c r="H16" s="1462">
        <f>SUM(I16:J16)</f>
        <v>0</v>
      </c>
      <c r="I16" s="1461"/>
      <c r="J16" s="1451"/>
      <c r="K16" s="1460"/>
    </row>
    <row customHeight="1" ht="22.5">
      <c r="F17" s="1456" t="s">
        <v>1047</v>
      </c>
      <c r="G17" s="1463" t="s">
        <v>1048</v>
      </c>
      <c r="H17" s="1462">
        <f>SUM(I17:J17)</f>
        <v>0</v>
      </c>
      <c r="I17" s="1461"/>
      <c r="J17" s="1451"/>
      <c r="K17" s="1460"/>
    </row>
    <row customHeight="1" ht="33.75">
      <c r="F18" s="1456" t="s">
        <v>1049</v>
      </c>
      <c r="G18" s="1463" t="s">
        <v>1050</v>
      </c>
      <c r="H18" s="1462">
        <f>SUM(I18:J18)</f>
        <v>0</v>
      </c>
      <c r="I18" s="1461"/>
      <c r="J18" s="1451"/>
      <c r="K18" s="1460"/>
    </row>
    <row customHeight="1" ht="33.75">
      <c r="F19" s="1456" t="s">
        <v>1051</v>
      </c>
      <c r="G19" s="1463" t="s">
        <v>1052</v>
      </c>
      <c r="H19" s="1462">
        <f>SUM(I19:J19)</f>
        <v>0</v>
      </c>
      <c r="I19" s="1461"/>
      <c r="J19" s="1451"/>
      <c r="K19" s="1460"/>
    </row>
    <row customHeight="1" ht="45">
      <c r="F20" s="1456" t="s">
        <v>1053</v>
      </c>
      <c r="G20" s="1463" t="s">
        <v>1054</v>
      </c>
      <c r="H20" s="1462">
        <f>SUM(I20:J20)</f>
        <v>0</v>
      </c>
      <c r="I20" s="1461"/>
      <c r="J20" s="1451"/>
      <c r="K20" s="1460"/>
    </row>
    <row customHeight="1" ht="33.75">
      <c r="F21" s="1456" t="s">
        <v>1055</v>
      </c>
      <c r="G21" s="1463" t="s">
        <v>1056</v>
      </c>
      <c r="H21" s="1462">
        <f>SUM(I21:J21)</f>
        <v>0</v>
      </c>
      <c r="I21" s="1461"/>
      <c r="J21" s="1451"/>
      <c r="K21" s="1460"/>
    </row>
    <row customHeight="1" ht="33.75">
      <c r="F22" s="1456" t="s">
        <v>1057</v>
      </c>
      <c r="G22" s="1463" t="s">
        <v>1058</v>
      </c>
      <c r="H22" s="1462">
        <f>SUM(I22:J22)</f>
        <v>0</v>
      </c>
      <c r="I22" s="1461"/>
      <c r="J22" s="1451"/>
      <c r="K22" s="1460"/>
    </row>
    <row customHeight="1" ht="22.5">
      <c r="F23" s="1456" t="s">
        <v>1059</v>
      </c>
      <c r="G23" s="1463" t="s">
        <v>1060</v>
      </c>
      <c r="H23" s="1462">
        <f>SUM(I23:J23)</f>
        <v>0</v>
      </c>
      <c r="I23" s="1461"/>
      <c r="J23" s="1451"/>
      <c r="K23" s="1460"/>
    </row>
    <row customHeight="1" ht="22.5">
      <c r="F24" s="1456" t="s">
        <v>1061</v>
      </c>
      <c r="G24" s="1463" t="s">
        <v>1062</v>
      </c>
      <c r="H24" s="1462">
        <f>SUM(I24:J24)</f>
        <v>0</v>
      </c>
      <c r="I24" s="1461"/>
      <c r="J24" s="1451"/>
      <c r="K24" s="1460"/>
    </row>
    <row customHeight="1" ht="33.75">
      <c r="F25" s="1456" t="s">
        <v>1063</v>
      </c>
      <c r="G25" s="1463" t="s">
        <v>1064</v>
      </c>
      <c r="H25" s="1462">
        <f>SUM(I25:J25)</f>
        <v>0</v>
      </c>
      <c r="I25" s="1461"/>
      <c r="J25" s="1451"/>
      <c r="K25" s="1460"/>
    </row>
    <row customHeight="1" ht="33.75">
      <c r="F26" s="1456" t="s">
        <v>1065</v>
      </c>
      <c r="G26" s="1463" t="s">
        <v>1066</v>
      </c>
      <c r="H26" s="1462">
        <f>SUM(I26:J26)</f>
        <v>0</v>
      </c>
      <c r="I26" s="1461"/>
      <c r="J26" s="1451"/>
      <c r="K26" s="1460"/>
    </row>
    <row customHeight="1" ht="11.25">
      <c r="F27" s="1456" t="s">
        <v>1067</v>
      </c>
      <c r="G27" s="1463" t="s">
        <v>1068</v>
      </c>
      <c r="H27" s="1462">
        <f>SUM(I27:J27)</f>
        <v>0</v>
      </c>
      <c r="I27" s="1461"/>
      <c r="J27" s="1451"/>
      <c r="K27" s="1460"/>
    </row>
    <row customHeight="1" ht="11.25">
      <c r="F28" s="1456">
        <v>2</v>
      </c>
      <c r="G28" s="912" t="s">
        <v>1069</v>
      </c>
      <c r="H28" s="1462">
        <f>SUM(I28:J28)</f>
        <v>0</v>
      </c>
      <c r="I28" s="1462">
        <f>SUM(I29:I31)</f>
        <v>0</v>
      </c>
      <c r="J28" s="1451"/>
      <c r="K28" s="1460"/>
    </row>
    <row customHeight="1" ht="11.25">
      <c r="F29" s="1456" t="s">
        <v>728</v>
      </c>
      <c r="G29" s="1463" t="s">
        <v>1070</v>
      </c>
      <c r="H29" s="1462">
        <f>SUM(I29:J29)</f>
        <v>0</v>
      </c>
      <c r="I29" s="1461"/>
      <c r="J29" s="1451"/>
      <c r="K29" s="1460"/>
    </row>
    <row customHeight="1" ht="11.25">
      <c r="F30" s="1456" t="s">
        <v>413</v>
      </c>
      <c r="G30" s="1463" t="s">
        <v>1071</v>
      </c>
      <c r="H30" s="1462">
        <f>SUM(I30:J30)</f>
        <v>0</v>
      </c>
      <c r="I30" s="1461"/>
      <c r="J30" s="1451"/>
      <c r="K30" s="1460"/>
    </row>
    <row customHeight="1" ht="11.25">
      <c r="F31" s="1456" t="s">
        <v>416</v>
      </c>
      <c r="G31" s="1463" t="s">
        <v>1072</v>
      </c>
      <c r="H31" s="1462">
        <f>SUM(I31:J31)</f>
        <v>0</v>
      </c>
      <c r="I31" s="1461"/>
      <c r="J31" s="1451"/>
      <c r="K31" s="1460"/>
    </row>
    <row customHeight="1" ht="11.25">
      <c r="F32" s="1456">
        <v>3</v>
      </c>
      <c r="G32" s="912" t="s">
        <v>1073</v>
      </c>
      <c r="H32" s="1462">
        <f>SUM(I32:J32)</f>
        <v>0</v>
      </c>
      <c r="I32" s="1462">
        <f>SUM(I33:I34)</f>
        <v>0</v>
      </c>
      <c r="J32" s="1451"/>
      <c r="K32" s="1460"/>
    </row>
    <row customHeight="1" ht="33.75">
      <c r="F33" s="1456" t="s">
        <v>430</v>
      </c>
      <c r="G33" s="1463" t="s">
        <v>1074</v>
      </c>
      <c r="H33" s="1462">
        <f>SUM(I33:J33)</f>
        <v>0</v>
      </c>
      <c r="I33" s="1461"/>
      <c r="J33" s="1451"/>
      <c r="K33" s="1460"/>
    </row>
    <row customHeight="1" ht="11.25">
      <c r="F34" s="1456" t="s">
        <v>438</v>
      </c>
      <c r="G34" s="1463" t="s">
        <v>1075</v>
      </c>
      <c r="H34" s="1462">
        <f>SUM(I34:J34)</f>
        <v>0</v>
      </c>
      <c r="I34" s="1461"/>
      <c r="J34" s="1451"/>
      <c r="K34" s="1460"/>
    </row>
    <row customHeight="1" ht="11.25">
      <c r="F35" s="1456">
        <v>4</v>
      </c>
      <c r="G35" s="912" t="s">
        <v>1076</v>
      </c>
      <c r="H35" s="1462">
        <f>SUM(I35:J35)</f>
        <v>0</v>
      </c>
      <c r="I35" s="1461"/>
      <c r="J35" s="1451"/>
      <c r="K35" s="1460"/>
    </row>
    <row customHeight="1" ht="11.25">
      <c r="F36" s="1456"/>
      <c r="G36" s="915" t="s">
        <v>1077</v>
      </c>
      <c r="H36" s="1462">
        <f>SUM(I36:J36)</f>
        <v>0</v>
      </c>
      <c r="I36" s="1462">
        <f>SUM(I15,I28,I32,I35)</f>
        <v>0</v>
      </c>
      <c r="J36" s="1451"/>
      <c r="K36" s="1460"/>
    </row>
    <row customHeight="1" ht="27.75">
      <c r="F37" s="1457" t="s">
        <v>1078</v>
      </c>
      <c r="G37" s="2545" t="s">
        <v>1079</v>
      </c>
      <c r="H37" s="2545"/>
      <c r="I37" s="2545"/>
      <c r="J37" s="2545"/>
      <c r="K37" s="1460"/>
    </row>
    <row customHeight="1" ht="22.5">
      <c r="F38" s="1456" t="s">
        <v>168</v>
      </c>
      <c r="G38" s="912" t="s">
        <v>1080</v>
      </c>
      <c r="H38" s="1462">
        <f>SUM(I38:J38)</f>
        <v>0</v>
      </c>
      <c r="I38" s="1462">
        <f>SUM(I39,I44,I47)</f>
        <v>0</v>
      </c>
      <c r="J38" s="1451"/>
      <c r="K38" s="1460"/>
    </row>
    <row customHeight="1" ht="11.25">
      <c r="F39" s="1456" t="s">
        <v>1045</v>
      </c>
      <c r="G39" s="1463" t="s">
        <v>1044</v>
      </c>
      <c r="H39" s="1462">
        <f>SUM(I39:J39)</f>
        <v>0</v>
      </c>
      <c r="I39" s="1462">
        <f>SUM(I40:I43)</f>
        <v>0</v>
      </c>
      <c r="J39" s="1451"/>
      <c r="K39" s="1460"/>
    </row>
    <row customHeight="1" ht="22.5">
      <c r="F40" s="1456" t="s">
        <v>1081</v>
      </c>
      <c r="G40" s="1464" t="s">
        <v>1082</v>
      </c>
      <c r="H40" s="1462">
        <f>SUM(I40:J40)</f>
        <v>0</v>
      </c>
      <c r="I40" s="1461"/>
      <c r="J40" s="1451"/>
      <c r="K40" s="1460"/>
    </row>
    <row customHeight="1" ht="11.25">
      <c r="F41" s="1456" t="s">
        <v>1083</v>
      </c>
      <c r="G41" s="1464" t="s">
        <v>1084</v>
      </c>
      <c r="H41" s="1462">
        <f>SUM(I41:J41)</f>
        <v>0</v>
      </c>
      <c r="I41" s="1461"/>
      <c r="J41" s="1451"/>
      <c r="K41" s="1460"/>
    </row>
    <row customHeight="1" ht="11.25">
      <c r="F42" s="1456" t="s">
        <v>1085</v>
      </c>
      <c r="G42" s="1464" t="s">
        <v>1086</v>
      </c>
      <c r="H42" s="1462">
        <f>SUM(I42:J42)</f>
        <v>0</v>
      </c>
      <c r="I42" s="1461"/>
      <c r="J42" s="1451"/>
      <c r="K42" s="1460"/>
    </row>
    <row customHeight="1" ht="33.75">
      <c r="F43" s="1456" t="s">
        <v>1087</v>
      </c>
      <c r="G43" s="1464" t="s">
        <v>1088</v>
      </c>
      <c r="H43" s="1462">
        <f>SUM(I43:J43)</f>
        <v>0</v>
      </c>
      <c r="I43" s="1461"/>
      <c r="J43" s="1451"/>
      <c r="K43" s="1460"/>
    </row>
    <row customHeight="1" ht="11.25">
      <c r="F44" s="1456" t="s">
        <v>1047</v>
      </c>
      <c r="G44" s="1463" t="s">
        <v>1073</v>
      </c>
      <c r="H44" s="1462">
        <f>SUM(I44:J44)</f>
        <v>0</v>
      </c>
      <c r="I44" s="1462">
        <f>SUM(I45:I46)</f>
        <v>0</v>
      </c>
      <c r="J44" s="1451"/>
      <c r="K44" s="1460"/>
    </row>
    <row customHeight="1" ht="45">
      <c r="F45" s="1456" t="s">
        <v>1089</v>
      </c>
      <c r="G45" s="1464" t="s">
        <v>1074</v>
      </c>
      <c r="H45" s="1462">
        <f>SUM(I45:J45)</f>
        <v>0</v>
      </c>
      <c r="I45" s="1461"/>
      <c r="J45" s="1451"/>
      <c r="K45" s="1460"/>
    </row>
    <row customHeight="1" ht="11.25">
      <c r="F46" s="1456" t="s">
        <v>1090</v>
      </c>
      <c r="G46" s="1464" t="s">
        <v>1075</v>
      </c>
      <c r="H46" s="1462">
        <f>SUM(I46:J46)</f>
        <v>0</v>
      </c>
      <c r="I46" s="1461"/>
      <c r="J46" s="1451"/>
      <c r="K46" s="1460"/>
    </row>
    <row customHeight="1" ht="11.25">
      <c r="F47" s="1456" t="s">
        <v>1049</v>
      </c>
      <c r="G47" s="1463" t="s">
        <v>1091</v>
      </c>
      <c r="H47" s="1462">
        <f>SUM(I47:J47)</f>
        <v>0</v>
      </c>
      <c r="I47" s="1461"/>
      <c r="J47" s="1451"/>
      <c r="K47" s="1460"/>
    </row>
    <row customHeight="1" ht="22.5">
      <c r="F48" s="1456" t="s">
        <v>99</v>
      </c>
      <c r="G48" s="912" t="s">
        <v>1092</v>
      </c>
      <c r="H48" s="1462">
        <f>SUM(I48:J48)</f>
        <v>0</v>
      </c>
      <c r="I48" s="1462">
        <f>SUM(I49,I54,I57)</f>
        <v>0</v>
      </c>
      <c r="J48" s="1451"/>
      <c r="K48" s="1460"/>
    </row>
    <row customHeight="1" ht="11.25">
      <c r="F49" s="1456" t="s">
        <v>728</v>
      </c>
      <c r="G49" s="1463" t="s">
        <v>1044</v>
      </c>
      <c r="H49" s="1462">
        <f>SUM(I49:J49)</f>
        <v>0</v>
      </c>
      <c r="I49" s="1462">
        <f>SUM(I50:I53)</f>
        <v>0</v>
      </c>
      <c r="J49" s="1451"/>
      <c r="K49" s="1460"/>
    </row>
    <row customHeight="1" ht="22.5">
      <c r="F50" s="1456" t="s">
        <v>731</v>
      </c>
      <c r="G50" s="1464" t="s">
        <v>1082</v>
      </c>
      <c r="H50" s="1462">
        <f>SUM(I50:J50)</f>
        <v>0</v>
      </c>
      <c r="I50" s="1461"/>
      <c r="J50" s="1451"/>
      <c r="K50" s="1460"/>
    </row>
    <row customHeight="1" ht="11.25">
      <c r="F51" s="1456" t="s">
        <v>734</v>
      </c>
      <c r="G51" s="1464" t="s">
        <v>1084</v>
      </c>
      <c r="H51" s="1462">
        <f>SUM(I51:J51)</f>
        <v>0</v>
      </c>
      <c r="I51" s="1461"/>
      <c r="J51" s="1451"/>
      <c r="K51" s="1460"/>
    </row>
    <row customHeight="1" ht="11.25">
      <c r="F52" s="1456" t="s">
        <v>1093</v>
      </c>
      <c r="G52" s="1464" t="s">
        <v>1086</v>
      </c>
      <c r="H52" s="1462">
        <f>SUM(I52:J52)</f>
        <v>0</v>
      </c>
      <c r="I52" s="1461"/>
      <c r="J52" s="1451"/>
      <c r="K52" s="1460"/>
    </row>
    <row customHeight="1" ht="33.75">
      <c r="F53" s="1456" t="s">
        <v>1094</v>
      </c>
      <c r="G53" s="1464" t="s">
        <v>1088</v>
      </c>
      <c r="H53" s="1462">
        <f>SUM(I53:J53)</f>
        <v>0</v>
      </c>
      <c r="I53" s="1461"/>
      <c r="J53" s="1451"/>
      <c r="K53" s="1460"/>
    </row>
    <row customHeight="1" ht="11.25">
      <c r="F54" s="1456" t="s">
        <v>413</v>
      </c>
      <c r="G54" s="1463" t="s">
        <v>1073</v>
      </c>
      <c r="H54" s="1462">
        <f>SUM(I54:J54)</f>
        <v>0</v>
      </c>
      <c r="I54" s="1462">
        <f>SUM(I55:I56)</f>
        <v>0</v>
      </c>
      <c r="J54" s="1451"/>
      <c r="K54" s="1460"/>
    </row>
    <row customHeight="1" ht="45">
      <c r="F55" s="1456" t="s">
        <v>738</v>
      </c>
      <c r="G55" s="1464" t="s">
        <v>1074</v>
      </c>
      <c r="H55" s="1462">
        <f>SUM(I55:J55)</f>
        <v>0</v>
      </c>
      <c r="I55" s="1461"/>
      <c r="J55" s="1451"/>
      <c r="K55" s="1460"/>
    </row>
    <row customHeight="1" ht="11.25">
      <c r="F56" s="1456" t="s">
        <v>740</v>
      </c>
      <c r="G56" s="1464" t="s">
        <v>1075</v>
      </c>
      <c r="H56" s="1462">
        <f>SUM(I56:J56)</f>
        <v>0</v>
      </c>
      <c r="I56" s="1461"/>
      <c r="J56" s="1451"/>
      <c r="K56" s="1460"/>
    </row>
    <row customHeight="1" ht="11.25">
      <c r="F57" s="1456" t="s">
        <v>416</v>
      </c>
      <c r="G57" s="1463" t="s">
        <v>1091</v>
      </c>
      <c r="H57" s="1462">
        <f>SUM(I57:J57)</f>
        <v>0</v>
      </c>
      <c r="I57" s="1461"/>
      <c r="J57" s="1451"/>
      <c r="K57" s="1460"/>
    </row>
    <row customHeight="1" ht="11.25">
      <c r="F58" s="1456"/>
      <c r="G58" s="1465" t="s">
        <v>1077</v>
      </c>
      <c r="H58" s="1462">
        <f>SUM(I58:J58)</f>
        <v>0</v>
      </c>
      <c r="I58" s="1462">
        <f>SUM(I38,I48)</f>
        <v>0</v>
      </c>
      <c r="J58" s="1451"/>
      <c r="K58" s="1460"/>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C4729C-01CE-8C27-0287-F6E9B995B98E}"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22206" width="4.7109375" hidden="1" customWidth="1"/>
    <col min="2" max="2" style="22207" width="4.7109375" hidden="1" customWidth="1"/>
    <col min="3" max="4" style="22206" width="4.7109375" hidden="1" customWidth="1"/>
    <col min="5" max="5" style="22206" width="3.57421875" customWidth="1"/>
    <col min="6" max="6" style="22206" width="6.7109375" customWidth="1"/>
    <col min="7" max="7" style="22206" width="18.7109375" customWidth="1"/>
    <col min="8" max="8" style="22206" width="27.28125" customWidth="1"/>
    <col min="9" max="9" style="22206" width="18.7109375" customWidth="1"/>
    <col min="10" max="14" style="22206" width="0.8515625" hidden="1" customWidth="1"/>
    <col min="15" max="28" style="22206" width="21.7109375" hidden="1" customWidth="1"/>
    <col min="29" max="71" style="22206" width="0.8515625" hidden="1" customWidth="1"/>
    <col min="72" max="79" style="22206" width="21.7109375" customWidth="1"/>
    <col min="80" max="81" style="22206" width="29.140625" customWidth="1"/>
    <col min="82" max="89" style="22206" width="21.7109375" customWidth="1"/>
    <col min="90" max="102" style="22206" width="0.7109375" customWidth="1"/>
    <col min="103" max="114" style="22206" width="21.7109375" hidden="1" customWidth="1"/>
    <col min="115" max="178" style="22206" width="0.7109375" hidden="1" customWidth="1"/>
    <col min="179" max="179" style="22206" width="0.140625" customWidth="1"/>
    <col min="180" max="184" style="22206" width="9.140625"/>
  </cols>
  <sheetData>
    <row s="22132" customFormat="1" customHeight="1" ht="12" hidden="1">
      <c r="B1" s="1145"/>
      <c r="C1" s="1146"/>
      <c r="D1" s="1146"/>
    </row>
    <row s="22132" customFormat="1" customHeight="1" ht="12" hidden="1">
      <c r="B2" s="1145"/>
      <c r="C2" s="1146"/>
      <c r="D2" s="1146"/>
      <c r="E2" s="1146"/>
      <c r="F2" s="1146"/>
      <c r="G2" s="1146"/>
      <c r="H2" s="1146"/>
      <c r="I2" s="1146"/>
      <c r="J2" s="1146"/>
      <c r="K2" s="1146"/>
      <c r="L2" s="1146"/>
      <c r="M2" s="1146"/>
      <c r="N2" s="1146"/>
      <c r="O2" s="1146"/>
      <c r="P2" s="1146"/>
      <c r="Q2" s="1146"/>
      <c r="R2" s="1146"/>
      <c r="S2" s="1146"/>
      <c r="T2" s="1146"/>
      <c r="U2" s="1146"/>
      <c r="V2" s="1146"/>
      <c r="W2" s="1146"/>
      <c r="X2" s="1146"/>
      <c r="Y2" s="1146"/>
      <c r="Z2" s="1146"/>
      <c r="AA2" s="1146"/>
      <c r="AB2" s="1147"/>
      <c r="AC2" s="1146"/>
      <c r="AD2" s="1146"/>
      <c r="AE2" s="1146"/>
      <c r="AF2" s="1146"/>
      <c r="AG2" s="1146"/>
      <c r="AH2" s="1146"/>
      <c r="AI2" s="1146"/>
      <c r="AJ2" s="1146"/>
      <c r="AK2" s="1146"/>
      <c r="AL2" s="1146"/>
      <c r="AM2" s="1146"/>
      <c r="AN2" s="1146"/>
      <c r="AO2" s="1146"/>
      <c r="AP2" s="1146"/>
      <c r="AQ2" s="1146"/>
      <c r="AR2" s="1146"/>
      <c r="AS2" s="1146"/>
      <c r="AT2" s="1146"/>
      <c r="AU2" s="1146"/>
      <c r="AV2" s="1146"/>
      <c r="AW2" s="1146"/>
      <c r="AX2" s="1146"/>
      <c r="AY2" s="1146"/>
      <c r="AZ2" s="1146"/>
      <c r="BA2" s="1146"/>
      <c r="BB2" s="1146"/>
      <c r="BC2" s="1146"/>
      <c r="BD2" s="1146"/>
      <c r="BE2" s="1146"/>
      <c r="BF2" s="1146"/>
      <c r="BG2" s="1146"/>
      <c r="BH2" s="1146"/>
      <c r="BI2" s="1146"/>
      <c r="BJ2" s="1146"/>
      <c r="BK2" s="1146"/>
      <c r="BL2" s="1146"/>
      <c r="BM2" s="1146"/>
      <c r="BN2" s="1146"/>
      <c r="BO2" s="1146"/>
      <c r="BP2" s="1146"/>
      <c r="BQ2" s="1146"/>
      <c r="BR2" s="1146"/>
      <c r="BS2" s="1146"/>
      <c r="BT2" s="1146"/>
      <c r="BU2" s="1146"/>
      <c r="BV2" s="1146"/>
      <c r="BW2" s="1146"/>
      <c r="BX2" s="1146"/>
      <c r="BY2" s="1146"/>
      <c r="BZ2" s="1146"/>
      <c r="CA2" s="1146"/>
      <c r="CB2" s="1146"/>
      <c r="CC2" s="1146"/>
      <c r="CD2" s="1146"/>
      <c r="CE2" s="1146"/>
      <c r="CF2" s="1146"/>
      <c r="CG2" s="1146"/>
      <c r="CH2" s="1146"/>
      <c r="CI2" s="1146"/>
      <c r="CJ2" s="1146"/>
      <c r="CK2" s="1146"/>
      <c r="CL2" s="1146"/>
      <c r="CM2" s="1146"/>
      <c r="CN2" s="1146"/>
      <c r="CO2" s="1146"/>
      <c r="CP2" s="1146"/>
      <c r="CQ2" s="1146"/>
      <c r="CR2" s="1146"/>
      <c r="CS2" s="1146"/>
      <c r="CT2" s="1146"/>
      <c r="CU2" s="1146"/>
      <c r="CV2" s="1146"/>
      <c r="CW2" s="1146"/>
      <c r="CX2" s="1146"/>
      <c r="CY2" s="1146"/>
      <c r="CZ2" s="1146"/>
      <c r="DA2" s="1146"/>
      <c r="DB2" s="1146"/>
      <c r="DC2" s="1146"/>
      <c r="DD2" s="1146"/>
      <c r="DE2" s="1146"/>
      <c r="DF2" s="1146"/>
      <c r="DG2" s="1146"/>
      <c r="DH2" s="1146"/>
      <c r="DI2" s="1146"/>
      <c r="DJ2" s="1146"/>
      <c r="DK2" s="1146"/>
      <c r="DL2" s="1146"/>
      <c r="DM2" s="1146"/>
      <c r="DN2" s="1146"/>
      <c r="DO2" s="1146"/>
      <c r="DP2" s="1146"/>
      <c r="DQ2" s="1146"/>
      <c r="DR2" s="1146"/>
      <c r="DS2" s="1146"/>
      <c r="DT2" s="1146"/>
      <c r="DU2" s="1146"/>
      <c r="DV2" s="1146"/>
      <c r="DW2" s="1146"/>
      <c r="DX2" s="1146"/>
      <c r="DY2" s="1146"/>
      <c r="DZ2" s="1146"/>
      <c r="EA2" s="1146"/>
      <c r="EB2" s="1146"/>
      <c r="EC2" s="1146"/>
      <c r="ED2" s="1146"/>
      <c r="EE2" s="1146"/>
      <c r="EF2" s="1146"/>
      <c r="EG2" s="1146"/>
      <c r="EH2" s="1146"/>
      <c r="EI2" s="1146"/>
      <c r="EJ2" s="1146"/>
      <c r="EK2" s="1146"/>
      <c r="EL2" s="1146"/>
      <c r="EM2" s="1146"/>
      <c r="EN2" s="1146"/>
      <c r="EO2" s="1146"/>
      <c r="EP2" s="1146"/>
      <c r="EQ2" s="1146"/>
      <c r="ER2" s="1146"/>
      <c r="ES2" s="1146"/>
      <c r="ET2" s="1146"/>
      <c r="EU2" s="1146"/>
      <c r="EV2" s="1146"/>
      <c r="EW2" s="1146"/>
      <c r="EX2" s="1146"/>
      <c r="EY2" s="1146"/>
      <c r="EZ2" s="1146"/>
      <c r="FA2" s="1146"/>
      <c r="FB2" s="1146"/>
      <c r="FC2" s="1146"/>
      <c r="FD2" s="1146"/>
      <c r="FE2" s="1146"/>
      <c r="FF2" s="1146"/>
      <c r="FG2" s="1146"/>
      <c r="FH2" s="1146"/>
      <c r="FI2" s="1146"/>
      <c r="FJ2" s="1146"/>
      <c r="FK2" s="1146"/>
      <c r="FL2" s="1146"/>
      <c r="FM2" s="1146"/>
      <c r="FN2" s="1146"/>
      <c r="FO2" s="1146"/>
      <c r="FP2" s="1146"/>
      <c r="FQ2" s="1146"/>
      <c r="FR2" s="1146"/>
      <c r="FS2" s="1146"/>
      <c r="FT2" s="1146"/>
      <c r="FU2" s="1146"/>
      <c r="FV2" s="1146"/>
      <c r="FW2" s="1146"/>
    </row>
    <row s="22132" customFormat="1" customHeight="1" ht="12" hidden="1">
      <c r="B3" s="1145"/>
      <c r="C3" s="1146"/>
      <c r="D3" s="1146"/>
      <c r="E3" s="1146"/>
      <c r="F3" s="1146"/>
      <c r="G3" s="1146"/>
      <c r="H3" s="1146"/>
      <c r="I3" s="1146"/>
      <c r="J3" s="1146"/>
      <c r="K3" s="1146"/>
      <c r="L3" s="1146"/>
      <c r="M3" s="1146"/>
      <c r="N3" s="1146"/>
      <c r="O3" s="1146"/>
      <c r="P3" s="1146"/>
      <c r="Q3" s="1146"/>
      <c r="R3" s="1146"/>
      <c r="S3" s="1146"/>
      <c r="T3" s="1146"/>
      <c r="U3" s="1146"/>
      <c r="V3" s="1146"/>
      <c r="W3" s="1146"/>
      <c r="X3" s="1146"/>
      <c r="Y3" s="1146"/>
      <c r="Z3" s="1146"/>
      <c r="AA3" s="1146"/>
      <c r="AB3" s="1147"/>
      <c r="AC3" s="1146"/>
      <c r="AD3" s="1146"/>
      <c r="AE3" s="1146"/>
      <c r="AF3" s="1146"/>
      <c r="AG3" s="1146"/>
      <c r="AH3" s="1146"/>
      <c r="AI3" s="1146"/>
      <c r="AJ3" s="1146"/>
      <c r="AK3" s="1146"/>
      <c r="AL3" s="1146"/>
      <c r="AM3" s="1146"/>
      <c r="AN3" s="1146"/>
      <c r="AO3" s="1146"/>
      <c r="AP3" s="1146"/>
      <c r="AQ3" s="1146"/>
      <c r="AR3" s="1146"/>
      <c r="AS3" s="1146"/>
      <c r="AT3" s="1146"/>
      <c r="AU3" s="1146"/>
      <c r="AV3" s="1146"/>
      <c r="AW3" s="1146"/>
      <c r="AX3" s="1146"/>
      <c r="AY3" s="1146"/>
      <c r="AZ3" s="1146"/>
      <c r="BA3" s="1146"/>
      <c r="BB3" s="1146"/>
      <c r="BC3" s="1146"/>
      <c r="BD3" s="1146"/>
      <c r="BE3" s="1146"/>
      <c r="BF3" s="1146"/>
      <c r="BG3" s="1146"/>
      <c r="BH3" s="1146"/>
      <c r="BI3" s="1146"/>
      <c r="BJ3" s="1146"/>
      <c r="BK3" s="1146"/>
      <c r="BL3" s="1146"/>
      <c r="BM3" s="1146"/>
      <c r="BN3" s="1146"/>
      <c r="BO3" s="1146"/>
      <c r="BP3" s="1146"/>
      <c r="BQ3" s="1146"/>
      <c r="BR3" s="1146"/>
      <c r="BS3" s="1146"/>
      <c r="BT3" s="1146"/>
      <c r="BU3" s="1146"/>
      <c r="BV3" s="1146"/>
      <c r="BW3" s="1146"/>
      <c r="BX3" s="1146"/>
      <c r="BY3" s="1146"/>
      <c r="BZ3" s="1146"/>
      <c r="CA3" s="1146"/>
      <c r="CB3" s="1146"/>
      <c r="CC3" s="1146"/>
      <c r="CD3" s="1146"/>
      <c r="CE3" s="1146"/>
      <c r="CF3" s="1146"/>
      <c r="CG3" s="1146"/>
      <c r="CH3" s="1146"/>
      <c r="CI3" s="1146"/>
      <c r="CJ3" s="1146"/>
      <c r="CK3" s="1146"/>
      <c r="CL3" s="1146"/>
      <c r="CM3" s="1146"/>
      <c r="CN3" s="1146"/>
      <c r="CO3" s="1146"/>
      <c r="CP3" s="1146"/>
      <c r="CQ3" s="1146"/>
      <c r="CR3" s="1146"/>
      <c r="CS3" s="1146"/>
      <c r="CT3" s="1146"/>
      <c r="CU3" s="1146"/>
      <c r="CV3" s="1146"/>
      <c r="CW3" s="1146"/>
      <c r="CX3" s="1146"/>
      <c r="CY3" s="1146"/>
      <c r="CZ3" s="1146"/>
      <c r="DA3" s="1146"/>
      <c r="DB3" s="1146"/>
      <c r="DC3" s="1146"/>
      <c r="DD3" s="1146"/>
      <c r="DE3" s="1146"/>
      <c r="DF3" s="1146"/>
      <c r="DG3" s="1146"/>
      <c r="DH3" s="1146"/>
      <c r="DI3" s="1146"/>
      <c r="DJ3" s="1146"/>
      <c r="DK3" s="1146"/>
      <c r="DL3" s="1146"/>
      <c r="DM3" s="1146"/>
      <c r="DN3" s="1146"/>
      <c r="DO3" s="1146"/>
      <c r="DP3" s="1146"/>
      <c r="DQ3" s="1146"/>
      <c r="DR3" s="1146"/>
      <c r="DS3" s="1146"/>
      <c r="DT3" s="1146"/>
      <c r="DU3" s="1146"/>
      <c r="DV3" s="1146"/>
      <c r="DW3" s="1146"/>
      <c r="DX3" s="1146"/>
      <c r="DY3" s="1146"/>
      <c r="DZ3" s="1146"/>
      <c r="EA3" s="1146"/>
      <c r="EB3" s="1146"/>
      <c r="EC3" s="1146"/>
      <c r="ED3" s="1146"/>
      <c r="EE3" s="1146"/>
      <c r="EF3" s="1146"/>
      <c r="EG3" s="1146"/>
      <c r="EH3" s="1146"/>
      <c r="EI3" s="1146"/>
      <c r="EJ3" s="1146"/>
      <c r="EK3" s="1146"/>
      <c r="EL3" s="1146"/>
      <c r="EM3" s="1146"/>
      <c r="EN3" s="1146"/>
      <c r="EO3" s="1146"/>
      <c r="EP3" s="1146"/>
      <c r="EQ3" s="1146"/>
      <c r="ER3" s="1146"/>
      <c r="ES3" s="1146"/>
      <c r="ET3" s="1146"/>
      <c r="EU3" s="1146"/>
      <c r="EV3" s="1146"/>
      <c r="EW3" s="1146"/>
      <c r="EX3" s="1146"/>
      <c r="EY3" s="1146"/>
      <c r="EZ3" s="1146"/>
      <c r="FA3" s="1146"/>
      <c r="FB3" s="1146"/>
      <c r="FC3" s="1146"/>
      <c r="FD3" s="1146"/>
      <c r="FE3" s="1146"/>
      <c r="FF3" s="1146"/>
      <c r="FG3" s="1146"/>
      <c r="FH3" s="1146"/>
      <c r="FI3" s="1146"/>
      <c r="FJ3" s="1146"/>
      <c r="FK3" s="1146"/>
      <c r="FL3" s="1146"/>
      <c r="FM3" s="1146"/>
      <c r="FN3" s="1146"/>
      <c r="FO3" s="1146"/>
      <c r="FP3" s="1146"/>
      <c r="FQ3" s="1146"/>
      <c r="FR3" s="1146"/>
      <c r="FS3" s="1146"/>
      <c r="FT3" s="1146"/>
      <c r="FU3" s="1146"/>
      <c r="FV3" s="1146"/>
      <c r="FW3" s="1146"/>
    </row>
    <row customHeight="1" ht="10.5">
      <c r="B4" s="1149"/>
      <c r="C4" s="1150"/>
      <c r="D4" s="1150"/>
      <c r="E4" s="1150"/>
      <c r="F4" s="1150"/>
      <c r="G4" s="1150"/>
      <c r="H4" s="1151"/>
      <c r="I4" s="1151"/>
      <c r="J4" s="1151"/>
      <c r="K4" s="1151"/>
      <c r="L4" s="1151"/>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1152"/>
      <c r="BA4" s="1152"/>
      <c r="BB4" s="1152"/>
      <c r="BC4" s="1152"/>
      <c r="BD4" s="1152"/>
      <c r="BE4" s="1152"/>
      <c r="BF4" s="1152"/>
      <c r="BG4" s="1152"/>
      <c r="BH4" s="1152"/>
      <c r="BI4" s="1152"/>
      <c r="BJ4" s="1152"/>
      <c r="BK4" s="1152"/>
      <c r="BL4" s="1152"/>
      <c r="BM4" s="1152"/>
      <c r="BN4" s="1152"/>
      <c r="BO4" s="1152"/>
      <c r="BP4" s="1152"/>
      <c r="BQ4" s="1152"/>
      <c r="BR4" s="1152"/>
      <c r="BS4" s="1152"/>
      <c r="BT4" s="1152"/>
      <c r="BU4" s="1152"/>
      <c r="BV4" s="1152"/>
      <c r="BW4" s="1152"/>
      <c r="BX4" s="1152"/>
      <c r="BY4" s="1152"/>
      <c r="BZ4" s="1152"/>
      <c r="CA4" s="1152"/>
      <c r="CB4" s="1152"/>
      <c r="CC4" s="1152"/>
      <c r="CD4" s="1152"/>
      <c r="CE4" s="1152"/>
      <c r="CF4" s="1152"/>
      <c r="CG4" s="1152"/>
      <c r="CH4" s="1152"/>
      <c r="CI4" s="1152"/>
      <c r="CJ4" s="1152"/>
      <c r="CK4" s="1152"/>
      <c r="CL4" s="1152"/>
      <c r="CM4" s="1152"/>
      <c r="CN4" s="1152"/>
      <c r="CO4" s="1152"/>
      <c r="CP4" s="1152"/>
      <c r="CQ4" s="1152"/>
      <c r="CR4" s="1152"/>
      <c r="CS4" s="1152"/>
      <c r="CT4" s="1152"/>
      <c r="CU4" s="1152"/>
      <c r="CV4" s="1152"/>
      <c r="CW4" s="1152"/>
      <c r="CX4" s="1152"/>
      <c r="CY4" s="1152"/>
      <c r="CZ4" s="1152"/>
      <c r="DA4" s="1152"/>
      <c r="DB4" s="1152"/>
      <c r="DC4" s="1152"/>
      <c r="DD4" s="1152"/>
      <c r="DE4" s="1152"/>
      <c r="DF4" s="1152"/>
      <c r="DG4" s="1152"/>
      <c r="DH4" s="1152"/>
      <c r="DI4" s="1152"/>
      <c r="DJ4" s="1152"/>
      <c r="DK4" s="1152"/>
      <c r="DL4" s="1152"/>
      <c r="DM4" s="1152"/>
      <c r="DN4" s="1152"/>
      <c r="DO4" s="1152"/>
      <c r="DP4" s="1152"/>
      <c r="DQ4" s="1152"/>
      <c r="DR4" s="1152"/>
      <c r="DS4" s="1152"/>
      <c r="DT4" s="1152"/>
      <c r="DU4" s="1152"/>
      <c r="DV4" s="1152"/>
      <c r="DW4" s="1152"/>
      <c r="DX4" s="1152"/>
      <c r="DY4" s="1152"/>
      <c r="DZ4" s="1152"/>
      <c r="EA4" s="1152"/>
      <c r="EB4" s="1152"/>
      <c r="EC4" s="1152"/>
      <c r="ED4" s="1152"/>
      <c r="EE4" s="1152"/>
      <c r="EF4" s="1152"/>
      <c r="EG4" s="1152"/>
      <c r="EH4" s="1152"/>
      <c r="EI4" s="1152"/>
      <c r="EJ4" s="1152"/>
      <c r="EK4" s="1152"/>
      <c r="EL4" s="1152"/>
      <c r="EM4" s="1152"/>
      <c r="EN4" s="1152"/>
      <c r="EO4" s="1152"/>
      <c r="EP4" s="1152"/>
      <c r="EQ4" s="1152"/>
      <c r="ER4" s="1152"/>
      <c r="ES4" s="1152"/>
      <c r="ET4" s="1152"/>
      <c r="EU4" s="1152"/>
      <c r="EV4" s="1152"/>
      <c r="EW4" s="1152"/>
      <c r="EX4" s="1152"/>
      <c r="EY4" s="1152"/>
      <c r="EZ4" s="1152"/>
      <c r="FA4" s="1152"/>
      <c r="FB4" s="1152"/>
      <c r="FC4" s="1152"/>
      <c r="FD4" s="1152"/>
      <c r="FE4" s="1152"/>
      <c r="FF4" s="1152"/>
      <c r="FG4" s="1152"/>
      <c r="FH4" s="1152"/>
      <c r="FI4" s="1152"/>
      <c r="FJ4" s="1152"/>
      <c r="FK4" s="1152"/>
      <c r="FL4" s="1152"/>
      <c r="FM4" s="1152"/>
      <c r="FN4" s="1152"/>
      <c r="FO4" s="1152"/>
      <c r="FP4" s="1152"/>
      <c r="FQ4" s="1152"/>
      <c r="FR4" s="1152"/>
      <c r="FS4" s="1152"/>
      <c r="FT4" s="1152"/>
      <c r="FU4" s="1152"/>
      <c r="FV4" s="1152"/>
      <c r="FW4" s="1152"/>
    </row>
    <row s="22140" customFormat="1" customHeight="1" ht="25.5">
      <c r="B5" s="2100"/>
      <c r="E5" s="2102"/>
      <c r="F5" s="2579"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год</v>
      </c>
      <c r="G5" s="2297"/>
      <c r="H5" s="2297"/>
      <c r="I5" s="2297"/>
      <c r="J5" s="2297"/>
      <c r="K5" s="2297"/>
      <c r="L5" s="2297"/>
      <c r="M5" s="2297"/>
      <c r="N5" s="2297"/>
      <c r="O5" s="2297"/>
      <c r="P5" s="2297"/>
      <c r="Q5" s="2297"/>
      <c r="R5" s="2297"/>
      <c r="S5" s="2297"/>
      <c r="T5" s="2297"/>
      <c r="U5" s="2297"/>
      <c r="V5" s="2297"/>
      <c r="W5" s="2297"/>
      <c r="X5" s="2297"/>
      <c r="Y5" s="2297"/>
      <c r="Z5" s="2297"/>
      <c r="AA5" s="2297"/>
      <c r="AB5" s="2297"/>
      <c r="AC5" s="2297"/>
      <c r="AD5" s="2297"/>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7"/>
      <c r="BC5" s="2297"/>
      <c r="BD5" s="2297"/>
      <c r="BE5" s="2297"/>
      <c r="BF5" s="2297"/>
      <c r="BG5" s="2297"/>
      <c r="BH5" s="2297"/>
      <c r="BI5" s="2297"/>
      <c r="BJ5" s="2297"/>
      <c r="BK5" s="2297"/>
      <c r="BL5" s="2297"/>
      <c r="BM5" s="2297"/>
      <c r="BN5" s="2297"/>
      <c r="BO5" s="2297"/>
      <c r="BP5" s="2297"/>
      <c r="BQ5" s="2297"/>
      <c r="BR5" s="2297"/>
      <c r="BS5" s="2297"/>
    </row>
    <row s="22144" customFormat="1" customHeight="1" ht="18">
      <c r="B6" s="1166"/>
      <c r="E6" s="1168"/>
      <c r="F6" s="2360" t="str">
        <f>IF(org=0,"Не определено",org)</f>
        <v>КГУП "Примтеплоэнерго"</v>
      </c>
      <c r="G6" s="2361"/>
      <c r="H6" s="2361"/>
      <c r="I6" s="2361"/>
      <c r="J6" s="2361"/>
      <c r="K6" s="2361"/>
      <c r="L6" s="2361"/>
      <c r="M6" s="2361"/>
      <c r="N6" s="2361"/>
      <c r="O6" s="2361"/>
      <c r="P6" s="2361"/>
      <c r="Q6" s="2361"/>
      <c r="R6" s="2361"/>
      <c r="S6" s="2361"/>
      <c r="T6" s="2361"/>
      <c r="U6" s="2361"/>
      <c r="V6" s="2361"/>
      <c r="W6" s="2361"/>
      <c r="X6" s="2361"/>
      <c r="Y6" s="2361"/>
      <c r="Z6" s="2361"/>
      <c r="AA6" s="2361"/>
      <c r="AB6" s="2361"/>
      <c r="AC6" s="2361"/>
      <c r="AD6" s="2361"/>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1"/>
      <c r="BC6" s="2361"/>
      <c r="BD6" s="2361"/>
      <c r="BE6" s="2361"/>
      <c r="BF6" s="2361"/>
      <c r="BG6" s="2361"/>
      <c r="BH6" s="2361"/>
      <c r="BI6" s="2361"/>
      <c r="BJ6" s="2361"/>
      <c r="BK6" s="2361"/>
      <c r="BL6" s="2361"/>
      <c r="BM6" s="2361"/>
      <c r="BN6" s="2361"/>
      <c r="BO6" s="2361"/>
      <c r="BP6" s="2361"/>
      <c r="BQ6" s="2361"/>
      <c r="BR6" s="2361"/>
      <c r="BS6" s="2361"/>
    </row>
    <row s="22147" customFormat="1" customHeight="1" ht="10.5">
      <c r="B7" s="1154"/>
      <c r="E7" s="1155"/>
      <c r="F7" s="1155"/>
      <c r="G7" s="1157"/>
      <c r="H7" s="1151"/>
      <c r="I7" s="1151"/>
      <c r="J7" s="1151"/>
      <c r="K7" s="1151"/>
      <c r="L7" s="1151"/>
      <c r="M7" s="1155"/>
      <c r="N7" s="1155"/>
      <c r="O7" s="1155"/>
      <c r="P7" s="1155"/>
      <c r="Q7" s="1155"/>
      <c r="R7" s="1155"/>
      <c r="S7" s="1155"/>
      <c r="T7" s="1155"/>
      <c r="U7" s="1155"/>
      <c r="V7" s="1155"/>
      <c r="W7" s="1155"/>
      <c r="X7" s="1155"/>
      <c r="Y7" s="1155"/>
      <c r="Z7" s="1155"/>
      <c r="AA7" s="1155"/>
      <c r="AB7" s="1155"/>
      <c r="AC7" s="1155"/>
      <c r="AD7" s="1155"/>
      <c r="AE7" s="1155"/>
      <c r="AF7" s="1155"/>
      <c r="AG7" s="1155"/>
      <c r="AH7" s="1155"/>
      <c r="AI7" s="1155"/>
      <c r="AJ7" s="1155"/>
      <c r="AK7" s="1155"/>
      <c r="AL7" s="1155"/>
      <c r="AM7" s="1155"/>
      <c r="AN7" s="1155"/>
      <c r="AO7" s="1155"/>
      <c r="AP7" s="1155"/>
      <c r="AQ7" s="1155"/>
      <c r="AR7" s="1155"/>
      <c r="AS7" s="1155"/>
      <c r="AT7" s="1155"/>
      <c r="AU7" s="1155"/>
      <c r="AV7" s="1155"/>
      <c r="AW7" s="1155"/>
      <c r="AX7" s="1155"/>
      <c r="AY7" s="1155"/>
      <c r="AZ7" s="1155"/>
      <c r="BA7" s="1155"/>
      <c r="BB7" s="1155"/>
      <c r="BC7" s="1155"/>
      <c r="BD7" s="1155"/>
      <c r="BE7" s="1155"/>
      <c r="BF7" s="1155"/>
      <c r="BG7" s="1155"/>
      <c r="BH7" s="1155"/>
      <c r="BI7" s="1155"/>
      <c r="BJ7" s="1155"/>
      <c r="BK7" s="1155"/>
      <c r="BL7" s="1155"/>
      <c r="BM7" s="1155"/>
      <c r="BN7" s="1155"/>
      <c r="BO7" s="1155"/>
      <c r="BP7" s="1155"/>
      <c r="BQ7" s="1155"/>
      <c r="BR7" s="1155"/>
      <c r="BS7" s="1155"/>
      <c r="BT7" s="1155"/>
      <c r="BU7" s="1155"/>
      <c r="BV7" s="1155"/>
      <c r="BW7" s="1155"/>
      <c r="BX7" s="1155"/>
      <c r="BY7" s="1155"/>
      <c r="BZ7" s="1155"/>
      <c r="CA7" s="1155"/>
      <c r="CB7" s="1155"/>
      <c r="CC7" s="1155"/>
      <c r="CD7" s="1155"/>
      <c r="CE7" s="1155"/>
      <c r="CF7" s="1155"/>
      <c r="CG7" s="1155"/>
      <c r="CH7" s="1155"/>
      <c r="CI7" s="1155"/>
      <c r="CJ7" s="1155"/>
      <c r="CK7" s="1155"/>
      <c r="CL7" s="1155"/>
      <c r="CM7" s="1155"/>
      <c r="CN7" s="1155"/>
      <c r="CO7" s="1155"/>
      <c r="CP7" s="1155"/>
      <c r="CQ7" s="1155"/>
      <c r="CR7" s="1155"/>
      <c r="CS7" s="1155"/>
      <c r="CT7" s="1155"/>
      <c r="CU7" s="1155"/>
      <c r="CV7" s="1155"/>
      <c r="CW7" s="1155"/>
      <c r="CX7" s="1155"/>
      <c r="CY7" s="1155"/>
      <c r="CZ7" s="1155"/>
      <c r="DA7" s="1155"/>
      <c r="DB7" s="1155"/>
      <c r="DC7" s="1155"/>
      <c r="DD7" s="1155"/>
      <c r="DE7" s="1155"/>
      <c r="DF7" s="1155"/>
      <c r="DG7" s="1155"/>
      <c r="DH7" s="1155"/>
      <c r="DI7" s="1155"/>
      <c r="DJ7" s="1155"/>
      <c r="DK7" s="1155"/>
      <c r="DL7" s="1155"/>
      <c r="DM7" s="1155"/>
      <c r="DN7" s="1155"/>
      <c r="DO7" s="1155"/>
      <c r="DP7" s="1155"/>
      <c r="DQ7" s="1155"/>
      <c r="DR7" s="1155"/>
      <c r="DS7" s="1155"/>
      <c r="DT7" s="1155"/>
      <c r="DU7" s="1155"/>
      <c r="DV7" s="1155"/>
      <c r="DW7" s="1155"/>
      <c r="DX7" s="1155"/>
      <c r="DY7" s="1155"/>
      <c r="DZ7" s="1155"/>
      <c r="EA7" s="1155"/>
      <c r="EB7" s="1155"/>
      <c r="EC7" s="1155"/>
      <c r="ED7" s="1155"/>
      <c r="EE7" s="1155"/>
      <c r="EF7" s="1155"/>
      <c r="EG7" s="1155"/>
      <c r="EH7" s="1155"/>
      <c r="EI7" s="1155"/>
      <c r="EJ7" s="1155"/>
      <c r="EK7" s="1155"/>
      <c r="EL7" s="1155"/>
      <c r="EM7" s="1155"/>
      <c r="EN7" s="1155"/>
      <c r="EO7" s="1155"/>
      <c r="EP7" s="1155"/>
      <c r="EQ7" s="1155"/>
      <c r="ER7" s="1155"/>
      <c r="ES7" s="1155"/>
      <c r="ET7" s="1155"/>
      <c r="EU7" s="1155"/>
      <c r="EV7" s="1155"/>
      <c r="EW7" s="1155"/>
      <c r="EX7" s="1155"/>
      <c r="EY7" s="1155"/>
      <c r="EZ7" s="1155"/>
      <c r="FA7" s="1155"/>
      <c r="FB7" s="1155"/>
      <c r="FC7" s="1155"/>
      <c r="FD7" s="1155"/>
      <c r="FE7" s="1155"/>
      <c r="FF7" s="1155"/>
      <c r="FG7" s="1155"/>
      <c r="FH7" s="1155"/>
      <c r="FI7" s="1155"/>
      <c r="FJ7" s="1155"/>
      <c r="FK7" s="1155"/>
      <c r="FL7" s="1155"/>
      <c r="FM7" s="1155"/>
      <c r="FN7" s="1155"/>
      <c r="FO7" s="1155"/>
      <c r="FP7" s="1155"/>
      <c r="FQ7" s="1155"/>
      <c r="FR7" s="1155"/>
      <c r="FS7" s="1155"/>
      <c r="FT7" s="1155"/>
      <c r="FU7" s="1155"/>
      <c r="FV7" s="1155"/>
      <c r="FW7" s="1155"/>
    </row>
    <row s="22151" customFormat="1" customHeight="1" ht="11.25" hidden="1">
      <c r="B8" s="1156"/>
      <c r="F8" s="1279"/>
      <c r="G8" s="985"/>
      <c r="H8" s="582"/>
      <c r="I8" s="582"/>
      <c r="J8" s="582"/>
      <c r="K8" s="582"/>
      <c r="L8" s="582"/>
      <c r="M8" s="1279"/>
      <c r="N8" s="1279"/>
      <c r="O8" s="2565" t="s">
        <v>1095</v>
      </c>
      <c r="P8" s="2566"/>
      <c r="Q8" s="2566"/>
      <c r="R8" s="2566"/>
      <c r="S8" s="2566"/>
      <c r="T8" s="2566"/>
      <c r="U8" s="2566"/>
      <c r="V8" s="2566"/>
      <c r="W8" s="2566"/>
      <c r="X8" s="2566"/>
      <c r="Y8" s="2566"/>
      <c r="Z8" s="2566"/>
      <c r="AA8" s="2566"/>
      <c r="AB8" s="2566"/>
      <c r="AC8" s="2566"/>
      <c r="AD8" s="2566"/>
      <c r="AE8" s="2566"/>
      <c r="AF8" s="2566"/>
      <c r="AG8" s="2566"/>
      <c r="AH8" s="2566"/>
      <c r="AI8" s="2566"/>
      <c r="AJ8" s="2566"/>
      <c r="AK8" s="2566"/>
      <c r="AL8" s="2566"/>
      <c r="AM8" s="2566"/>
      <c r="AN8" s="2566"/>
      <c r="AO8" s="2566"/>
      <c r="AP8" s="2566"/>
      <c r="AQ8" s="2566"/>
      <c r="AR8" s="2566"/>
      <c r="AS8" s="2566"/>
      <c r="AT8" s="2566"/>
      <c r="AU8" s="2566"/>
      <c r="AV8" s="2566"/>
      <c r="AW8" s="2566"/>
      <c r="AX8" s="2566"/>
      <c r="AY8" s="2566"/>
      <c r="AZ8" s="2566"/>
      <c r="BA8" s="2566"/>
      <c r="BB8" s="2566"/>
      <c r="BC8" s="2566"/>
      <c r="BD8" s="2566"/>
      <c r="BE8" s="2566"/>
      <c r="BF8" s="2566"/>
      <c r="BG8" s="2566"/>
      <c r="BH8" s="2566"/>
      <c r="BI8" s="2566"/>
      <c r="BJ8" s="2566"/>
      <c r="BK8" s="2566"/>
      <c r="BL8" s="2566"/>
      <c r="BM8" s="2566"/>
      <c r="BN8" s="2566"/>
      <c r="BO8" s="2566"/>
      <c r="BP8" s="2566"/>
      <c r="BQ8" s="2566"/>
      <c r="BR8" s="2566"/>
      <c r="BS8" s="2567"/>
      <c r="BT8" s="2568"/>
      <c r="BU8" s="2569"/>
      <c r="BV8" s="2569"/>
      <c r="BW8" s="2569"/>
      <c r="BX8" s="2569"/>
      <c r="BY8" s="2569"/>
      <c r="BZ8" s="2569"/>
      <c r="CA8" s="2569"/>
      <c r="CB8" s="2569"/>
      <c r="CC8" s="2569"/>
      <c r="CD8" s="2569"/>
      <c r="CE8" s="2569"/>
      <c r="CF8" s="2569"/>
      <c r="CG8" s="2569"/>
      <c r="CH8" s="2569"/>
      <c r="CI8" s="2569"/>
      <c r="CJ8" s="2569"/>
      <c r="CK8" s="2569"/>
      <c r="CL8" s="2569"/>
      <c r="CM8" s="2569"/>
      <c r="CN8" s="2569"/>
      <c r="CO8" s="2569"/>
      <c r="CP8" s="2569"/>
      <c r="CQ8" s="2569"/>
      <c r="CR8" s="2569"/>
      <c r="CS8" s="2569"/>
      <c r="CT8" s="2569"/>
      <c r="CU8" s="2569"/>
      <c r="CV8" s="2569"/>
      <c r="CW8" s="2569"/>
      <c r="CX8" s="2570"/>
      <c r="CY8" s="2571"/>
      <c r="CZ8" s="2572"/>
      <c r="DA8" s="2572"/>
      <c r="DB8" s="2572"/>
      <c r="DC8" s="2572"/>
      <c r="DD8" s="2572"/>
      <c r="DE8" s="2572"/>
      <c r="DF8" s="2572"/>
      <c r="DG8" s="2572"/>
      <c r="DH8" s="2572"/>
      <c r="DI8" s="2572"/>
      <c r="DJ8" s="2572"/>
      <c r="DK8" s="2572"/>
      <c r="DL8" s="2572"/>
      <c r="DM8" s="2572"/>
      <c r="DN8" s="2572"/>
      <c r="DO8" s="2572"/>
      <c r="DP8" s="2572"/>
      <c r="DQ8" s="2572"/>
      <c r="DR8" s="2572"/>
      <c r="DS8" s="2572"/>
      <c r="DT8" s="2572"/>
      <c r="DU8" s="2572"/>
      <c r="DV8" s="2572"/>
      <c r="DW8" s="2572"/>
      <c r="DX8" s="2573"/>
      <c r="DY8" s="2559" t="s">
        <v>1096</v>
      </c>
      <c r="DZ8" s="2560"/>
      <c r="EA8" s="2560"/>
      <c r="EB8" s="2560"/>
      <c r="EC8" s="2560"/>
      <c r="ED8" s="2560"/>
      <c r="EE8" s="2560"/>
      <c r="EF8" s="2560"/>
      <c r="EG8" s="2560"/>
      <c r="EH8" s="2560"/>
      <c r="EI8" s="2560"/>
      <c r="EJ8" s="2560"/>
      <c r="EK8" s="2560"/>
      <c r="EL8" s="2560"/>
      <c r="EM8" s="2560"/>
      <c r="EN8" s="2560"/>
      <c r="EO8" s="2560"/>
      <c r="EP8" s="2560"/>
      <c r="EQ8" s="2560"/>
      <c r="ER8" s="2560"/>
      <c r="ES8" s="2560"/>
      <c r="ET8" s="2560"/>
      <c r="EU8" s="2560"/>
      <c r="EV8" s="2560"/>
      <c r="EW8" s="2560"/>
      <c r="EX8" s="2560"/>
      <c r="EY8" s="2560"/>
      <c r="EZ8" s="2560"/>
      <c r="FA8" s="2560"/>
      <c r="FB8" s="2560"/>
      <c r="FC8" s="2560"/>
      <c r="FD8" s="2560"/>
      <c r="FE8" s="2560"/>
      <c r="FF8" s="2560"/>
      <c r="FG8" s="2560"/>
      <c r="FH8" s="2560"/>
      <c r="FI8" s="2560"/>
      <c r="FJ8" s="2560"/>
      <c r="FK8" s="2560"/>
      <c r="FL8" s="2560"/>
      <c r="FM8" s="2560"/>
      <c r="FN8" s="2560"/>
      <c r="FO8" s="2560"/>
      <c r="FP8" s="2560"/>
      <c r="FQ8" s="2560"/>
      <c r="FR8" s="2560"/>
      <c r="FS8" s="2560"/>
      <c r="FT8" s="2560"/>
      <c r="FU8" s="2560"/>
      <c r="FV8" s="2560"/>
      <c r="FW8" s="2561"/>
      <c r="FX8" s="1279"/>
    </row>
    <row s="22151" customFormat="1" customHeight="1" ht="11.25" hidden="1">
      <c r="B9" s="1156"/>
      <c r="F9" s="1279"/>
      <c r="G9" s="985"/>
      <c r="H9" s="582"/>
      <c r="I9" s="582"/>
      <c r="J9" s="582"/>
      <c r="K9" s="582"/>
      <c r="L9" s="582"/>
      <c r="M9" s="1279"/>
      <c r="N9" s="1279"/>
      <c r="O9" s="1279"/>
      <c r="P9" s="1279"/>
      <c r="Q9" s="1279"/>
      <c r="R9" s="1279"/>
      <c r="S9" s="1279"/>
      <c r="T9" s="1279"/>
      <c r="U9" s="1279"/>
      <c r="V9" s="1279"/>
      <c r="W9" s="1279"/>
      <c r="X9" s="1279"/>
      <c r="Y9" s="1279"/>
      <c r="Z9" s="1279"/>
      <c r="AA9" s="1279"/>
      <c r="AB9" s="1279"/>
      <c r="AC9" s="1279"/>
      <c r="AD9" s="1279"/>
      <c r="AE9" s="1279"/>
      <c r="AF9" s="1279"/>
      <c r="AG9" s="1279"/>
      <c r="AH9" s="1279"/>
      <c r="AI9" s="1279"/>
      <c r="AJ9" s="1279"/>
      <c r="AK9" s="1279"/>
      <c r="AL9" s="1279"/>
      <c r="AM9" s="1279"/>
      <c r="AN9" s="1279"/>
      <c r="AO9" s="1279"/>
      <c r="AP9" s="1279"/>
      <c r="AQ9" s="1279"/>
      <c r="AR9" s="1279"/>
      <c r="AS9" s="1279"/>
      <c r="AT9" s="1279"/>
      <c r="AU9" s="1279"/>
      <c r="AV9" s="1279"/>
      <c r="AW9" s="1279"/>
      <c r="AX9" s="1279"/>
      <c r="AY9" s="1279"/>
      <c r="AZ9" s="1279"/>
      <c r="BA9" s="1279"/>
      <c r="BB9" s="1279"/>
      <c r="BC9" s="1279"/>
      <c r="BD9" s="1279"/>
      <c r="BE9" s="1279"/>
      <c r="BF9" s="1279"/>
      <c r="BG9" s="1279"/>
      <c r="BH9" s="1279"/>
      <c r="BI9" s="1279"/>
      <c r="BJ9" s="1279"/>
      <c r="BK9" s="1279"/>
      <c r="BL9" s="1279"/>
      <c r="BM9" s="1279"/>
      <c r="BN9" s="1279"/>
      <c r="BO9" s="1279"/>
      <c r="BP9" s="1279"/>
      <c r="BQ9" s="1279"/>
      <c r="BR9" s="1279"/>
      <c r="BS9" s="1279"/>
      <c r="BT9" s="1279"/>
      <c r="BU9" s="1279"/>
      <c r="BV9" s="1279"/>
      <c r="BW9" s="1279"/>
      <c r="BX9" s="1279"/>
      <c r="BY9" s="1279"/>
      <c r="BZ9" s="1279"/>
      <c r="CA9" s="1279"/>
      <c r="CB9" s="1279"/>
      <c r="CC9" s="1279"/>
      <c r="CD9" s="1279"/>
      <c r="CE9" s="1279"/>
      <c r="CF9" s="1279"/>
      <c r="CG9" s="1279"/>
      <c r="CH9" s="1279"/>
      <c r="CI9" s="1279"/>
      <c r="CJ9" s="1279"/>
      <c r="CK9" s="1279"/>
      <c r="CL9" s="1279"/>
      <c r="CM9" s="1279"/>
      <c r="CN9" s="1279"/>
      <c r="CO9" s="1279"/>
      <c r="CP9" s="1279"/>
      <c r="CQ9" s="1279"/>
      <c r="CR9" s="1279"/>
      <c r="CS9" s="1279"/>
      <c r="CT9" s="1279"/>
      <c r="CU9" s="1279"/>
      <c r="CV9" s="1279"/>
      <c r="CW9" s="1279"/>
      <c r="CX9" s="1279"/>
      <c r="CY9" s="1279"/>
      <c r="CZ9" s="1279"/>
      <c r="DA9" s="1279"/>
      <c r="DB9" s="1279"/>
      <c r="DC9" s="1279"/>
      <c r="DD9" s="1279"/>
      <c r="DE9" s="1279"/>
      <c r="DF9" s="1279"/>
      <c r="DG9" s="1279"/>
      <c r="DH9" s="1279"/>
      <c r="DI9" s="1279"/>
      <c r="DJ9" s="1279"/>
      <c r="DK9" s="1279"/>
      <c r="DL9" s="1279"/>
      <c r="DM9" s="1279"/>
      <c r="DN9" s="1279"/>
      <c r="DO9" s="1279"/>
      <c r="DP9" s="1279"/>
      <c r="DQ9" s="1279"/>
      <c r="DR9" s="1279"/>
      <c r="DS9" s="1279"/>
      <c r="DT9" s="1279"/>
      <c r="DU9" s="1279"/>
      <c r="DV9" s="1279"/>
      <c r="DW9" s="1279"/>
      <c r="DX9" s="1279"/>
      <c r="DY9" s="1279"/>
      <c r="DZ9" s="1279"/>
      <c r="EA9" s="1279"/>
      <c r="EB9" s="1279"/>
      <c r="EC9" s="1279"/>
      <c r="ED9" s="1279"/>
      <c r="EE9" s="1279"/>
      <c r="EF9" s="1279"/>
      <c r="EG9" s="1279"/>
      <c r="EH9" s="1279"/>
      <c r="EI9" s="1279"/>
      <c r="EJ9" s="1279"/>
      <c r="EK9" s="1279"/>
      <c r="EL9" s="1279"/>
      <c r="EM9" s="1279"/>
      <c r="EN9" s="1279"/>
      <c r="EO9" s="1279"/>
      <c r="EP9" s="1279"/>
      <c r="EQ9" s="1279"/>
      <c r="ER9" s="1279"/>
      <c r="ES9" s="1279"/>
      <c r="ET9" s="1279"/>
      <c r="EU9" s="1279"/>
      <c r="EV9" s="1279"/>
      <c r="EW9" s="1279"/>
      <c r="EX9" s="1279"/>
      <c r="EY9" s="1279"/>
      <c r="EZ9" s="1279"/>
      <c r="FA9" s="1279"/>
      <c r="FB9" s="1279"/>
      <c r="FC9" s="1279"/>
      <c r="FD9" s="1279"/>
      <c r="FE9" s="1279"/>
      <c r="FF9" s="1279"/>
      <c r="FG9" s="1279"/>
      <c r="FH9" s="1279"/>
      <c r="FI9" s="1279"/>
      <c r="FJ9" s="1279"/>
      <c r="FK9" s="1279"/>
      <c r="FL9" s="1279"/>
      <c r="FM9" s="1279"/>
      <c r="FN9" s="1279"/>
      <c r="FO9" s="1279"/>
      <c r="FP9" s="1279"/>
      <c r="FQ9" s="1279"/>
      <c r="FR9" s="1279"/>
      <c r="FS9" s="1279"/>
      <c r="FT9" s="1279"/>
      <c r="FU9" s="1279"/>
      <c r="FV9" s="1279"/>
      <c r="FW9" s="2562"/>
      <c r="FX9" s="1279"/>
    </row>
    <row s="22151" customFormat="1" customHeight="1" ht="11.25">
      <c r="B10" s="1156"/>
      <c r="F10" s="2576" t="s">
        <v>406</v>
      </c>
      <c r="G10" s="2577"/>
      <c r="H10" s="2577"/>
      <c r="I10" s="2577"/>
      <c r="J10" s="2577"/>
      <c r="K10" s="2577"/>
      <c r="L10" s="2577"/>
      <c r="M10" s="2577"/>
      <c r="N10" s="2577"/>
      <c r="O10" s="2577"/>
      <c r="P10" s="2577"/>
      <c r="Q10" s="2577"/>
      <c r="R10" s="2577"/>
      <c r="S10" s="2577"/>
      <c r="T10" s="2577"/>
      <c r="U10" s="2577"/>
      <c r="V10" s="2577"/>
      <c r="W10" s="2577"/>
      <c r="X10" s="2577"/>
      <c r="Y10" s="2577"/>
      <c r="Z10" s="2577"/>
      <c r="AA10" s="2577"/>
      <c r="AB10" s="2577"/>
      <c r="AC10" s="2577"/>
      <c r="AD10" s="2577"/>
      <c r="AE10" s="2577"/>
      <c r="AF10" s="2577"/>
      <c r="AG10" s="2577"/>
      <c r="AH10" s="2577"/>
      <c r="AI10" s="2577"/>
      <c r="AJ10" s="2577"/>
      <c r="AK10" s="2577"/>
      <c r="AL10" s="2577"/>
      <c r="AM10" s="2577"/>
      <c r="AN10" s="2577"/>
      <c r="AO10" s="2577"/>
      <c r="AP10" s="2577"/>
      <c r="AQ10" s="2577"/>
      <c r="AR10" s="2577"/>
      <c r="AS10" s="2577"/>
      <c r="AT10" s="2577"/>
      <c r="AU10" s="2577"/>
      <c r="AV10" s="2577"/>
      <c r="AW10" s="2577"/>
      <c r="AX10" s="2577"/>
      <c r="AY10" s="2577"/>
      <c r="AZ10" s="2577"/>
      <c r="BA10" s="2577"/>
      <c r="BB10" s="2577"/>
      <c r="BC10" s="2577"/>
      <c r="BD10" s="2577"/>
      <c r="BE10" s="2577"/>
      <c r="BF10" s="2577"/>
      <c r="BG10" s="2577"/>
      <c r="BH10" s="2577"/>
      <c r="BI10" s="2577"/>
      <c r="BJ10" s="2577"/>
      <c r="BK10" s="2577"/>
      <c r="BL10" s="2577"/>
      <c r="BM10" s="2577"/>
      <c r="BN10" s="2577"/>
      <c r="BO10" s="2577"/>
      <c r="BP10" s="2577"/>
      <c r="BQ10" s="2577"/>
      <c r="BR10" s="2577"/>
      <c r="BS10" s="2577"/>
      <c r="BT10" s="2577"/>
      <c r="BU10" s="2577"/>
      <c r="BV10" s="2577"/>
      <c r="BW10" s="2577"/>
      <c r="BX10" s="2577"/>
      <c r="BY10" s="2577"/>
      <c r="BZ10" s="2577"/>
      <c r="CA10" s="2577"/>
      <c r="CB10" s="2577"/>
      <c r="CC10" s="2577"/>
      <c r="CD10" s="2577"/>
      <c r="CE10" s="2577"/>
      <c r="CF10" s="2577"/>
      <c r="CG10" s="2577"/>
      <c r="CH10" s="2577"/>
      <c r="CI10" s="2577"/>
      <c r="CJ10" s="2577"/>
      <c r="CK10" s="2577"/>
      <c r="CL10" s="2577"/>
      <c r="CM10" s="2577"/>
      <c r="CN10" s="2577"/>
      <c r="CO10" s="2577"/>
      <c r="CP10" s="2577"/>
      <c r="CQ10" s="2577"/>
      <c r="CR10" s="2577"/>
      <c r="CS10" s="2577"/>
      <c r="CT10" s="2577"/>
      <c r="CU10" s="2577"/>
      <c r="CV10" s="2577"/>
      <c r="CW10" s="2577"/>
      <c r="CX10" s="2577"/>
      <c r="CY10" s="2577"/>
      <c r="CZ10" s="2577"/>
      <c r="DA10" s="2577"/>
      <c r="DB10" s="2577"/>
      <c r="DC10" s="2577"/>
      <c r="DD10" s="2577"/>
      <c r="DE10" s="2577"/>
      <c r="DF10" s="2577"/>
      <c r="DG10" s="2577"/>
      <c r="DH10" s="2577"/>
      <c r="DI10" s="2577"/>
      <c r="DJ10" s="2577"/>
      <c r="DK10" s="2577"/>
      <c r="DL10" s="2577"/>
      <c r="DM10" s="2577"/>
      <c r="DN10" s="2577"/>
      <c r="DO10" s="2577"/>
      <c r="DP10" s="2577"/>
      <c r="DQ10" s="2577"/>
      <c r="DR10" s="2577"/>
      <c r="DS10" s="2577"/>
      <c r="DT10" s="2577"/>
      <c r="DU10" s="2577"/>
      <c r="DV10" s="2577"/>
      <c r="DW10" s="2577"/>
      <c r="DX10" s="2577"/>
      <c r="DY10" s="2577"/>
      <c r="DZ10" s="2577"/>
      <c r="EA10" s="2577"/>
      <c r="EB10" s="2577"/>
      <c r="EC10" s="2577"/>
      <c r="ED10" s="2577"/>
      <c r="EE10" s="2577"/>
      <c r="EF10" s="2577"/>
      <c r="EG10" s="2577"/>
      <c r="EH10" s="2577"/>
      <c r="EI10" s="2577"/>
      <c r="EJ10" s="2577"/>
      <c r="EK10" s="2577"/>
      <c r="EL10" s="2577"/>
      <c r="EM10" s="2577"/>
      <c r="EN10" s="2577"/>
      <c r="EO10" s="2577"/>
      <c r="EP10" s="2577"/>
      <c r="EQ10" s="2577"/>
      <c r="ER10" s="2577"/>
      <c r="ES10" s="2577"/>
      <c r="ET10" s="2577"/>
      <c r="EU10" s="2577"/>
      <c r="EV10" s="2577"/>
      <c r="EW10" s="2577"/>
      <c r="EX10" s="2577"/>
      <c r="EY10" s="2577"/>
      <c r="EZ10" s="2577"/>
      <c r="FA10" s="2577"/>
      <c r="FB10" s="2577"/>
      <c r="FC10" s="2577"/>
      <c r="FD10" s="2577"/>
      <c r="FE10" s="2577"/>
      <c r="FF10" s="2577"/>
      <c r="FG10" s="2577"/>
      <c r="FH10" s="2577"/>
      <c r="FI10" s="2577"/>
      <c r="FJ10" s="2577"/>
      <c r="FK10" s="2577"/>
      <c r="FL10" s="2577"/>
      <c r="FM10" s="2577"/>
      <c r="FN10" s="2577"/>
      <c r="FO10" s="2577"/>
      <c r="FP10" s="2577"/>
      <c r="FQ10" s="2577"/>
      <c r="FR10" s="2577"/>
      <c r="FS10" s="2577"/>
      <c r="FT10" s="2577"/>
      <c r="FU10" s="2577"/>
      <c r="FV10" s="2578"/>
      <c r="FW10" s="2562"/>
      <c r="FX10" s="1279"/>
    </row>
    <row customHeight="1" ht="12">
      <c r="E11" s="1159"/>
      <c r="F11" s="2339" t="s">
        <v>84</v>
      </c>
      <c r="G11" s="2339" t="s">
        <v>1097</v>
      </c>
      <c r="H11" s="2575" t="s">
        <v>1098</v>
      </c>
      <c r="I11" s="2575" t="s">
        <v>1099</v>
      </c>
      <c r="J11" s="2574"/>
      <c r="K11" s="2574"/>
      <c r="L11" s="2574"/>
      <c r="M11" s="2574"/>
      <c r="N11" s="2574"/>
      <c r="O11" s="2343" t="s">
        <v>1100</v>
      </c>
      <c r="P11" s="2343"/>
      <c r="Q11" s="2343"/>
      <c r="R11" s="2343"/>
      <c r="S11" s="2343"/>
      <c r="T11" s="2343"/>
      <c r="U11" s="2343"/>
      <c r="V11" s="2343"/>
      <c r="W11" s="2343"/>
      <c r="X11" s="2343"/>
      <c r="Y11" s="2343"/>
      <c r="Z11" s="2343"/>
      <c r="AA11" s="2343"/>
      <c r="AB11" s="2343"/>
      <c r="AC11" s="2556"/>
      <c r="AD11" s="2556"/>
      <c r="AE11" s="2556"/>
      <c r="AF11" s="2556"/>
      <c r="AG11" s="2556"/>
      <c r="AH11" s="2556"/>
      <c r="AI11" s="2556"/>
      <c r="AJ11" s="2556"/>
      <c r="AK11" s="2556"/>
      <c r="AL11" s="2556"/>
      <c r="AM11" s="2556"/>
      <c r="AN11" s="2556"/>
      <c r="AO11" s="2556"/>
      <c r="AP11" s="2556"/>
      <c r="AQ11" s="2556"/>
      <c r="AR11" s="2556"/>
      <c r="AS11" s="2556"/>
      <c r="AT11" s="2556"/>
      <c r="AU11" s="2556"/>
      <c r="AV11" s="2556"/>
      <c r="AW11" s="2556"/>
      <c r="AX11" s="2556"/>
      <c r="AY11" s="2556"/>
      <c r="AZ11" s="2556"/>
      <c r="BA11" s="2556"/>
      <c r="BB11" s="2556"/>
      <c r="BC11" s="2556"/>
      <c r="BD11" s="2556"/>
      <c r="BE11" s="2556"/>
      <c r="BF11" s="2556"/>
      <c r="BG11" s="2556"/>
      <c r="BH11" s="2556"/>
      <c r="BI11" s="2556"/>
      <c r="BJ11" s="2556"/>
      <c r="BK11" s="2556"/>
      <c r="BL11" s="2556"/>
      <c r="BM11" s="2556"/>
      <c r="BN11" s="2556"/>
      <c r="BO11" s="2556"/>
      <c r="BP11" s="2556"/>
      <c r="BQ11" s="2556"/>
      <c r="BR11" s="2556"/>
      <c r="BS11" s="2557"/>
      <c r="BT11" s="2554" t="s">
        <v>1100</v>
      </c>
      <c r="BU11" s="2558"/>
      <c r="BV11" s="2558"/>
      <c r="BW11" s="2558"/>
      <c r="BX11" s="2558"/>
      <c r="BY11" s="2558"/>
      <c r="BZ11" s="2558"/>
      <c r="CA11" s="2558"/>
      <c r="CB11" s="2558"/>
      <c r="CC11" s="2558"/>
      <c r="CD11" s="2558"/>
      <c r="CE11" s="2558"/>
      <c r="CF11" s="2558"/>
      <c r="CG11" s="2558"/>
      <c r="CH11" s="2558"/>
      <c r="CI11" s="2558"/>
      <c r="CJ11" s="2558"/>
      <c r="CK11" s="2555"/>
      <c r="CL11" s="2564"/>
      <c r="CM11" s="2556"/>
      <c r="CN11" s="2556"/>
      <c r="CO11" s="2556"/>
      <c r="CP11" s="2556"/>
      <c r="CQ11" s="2556"/>
      <c r="CR11" s="2556"/>
      <c r="CS11" s="2556"/>
      <c r="CT11" s="2556"/>
      <c r="CU11" s="2556"/>
      <c r="CV11" s="2556"/>
      <c r="CW11" s="2556"/>
      <c r="CX11" s="2557"/>
      <c r="CY11" s="2554" t="s">
        <v>1100</v>
      </c>
      <c r="CZ11" s="2558"/>
      <c r="DA11" s="2558"/>
      <c r="DB11" s="2558"/>
      <c r="DC11" s="2558"/>
      <c r="DD11" s="2558"/>
      <c r="DE11" s="2558"/>
      <c r="DF11" s="2558"/>
      <c r="DG11" s="2558"/>
      <c r="DH11" s="2558"/>
      <c r="DI11" s="2558"/>
      <c r="DJ11" s="2555"/>
      <c r="DK11" s="2564"/>
      <c r="DL11" s="2556"/>
      <c r="DM11" s="2556"/>
      <c r="DN11" s="2556"/>
      <c r="DO11" s="2556"/>
      <c r="DP11" s="2556"/>
      <c r="DQ11" s="2556"/>
      <c r="DR11" s="2556"/>
      <c r="DS11" s="2556"/>
      <c r="DT11" s="2556"/>
      <c r="DU11" s="2556"/>
      <c r="DV11" s="2556"/>
      <c r="DW11" s="2556"/>
      <c r="DX11" s="2556"/>
      <c r="DY11" s="2556"/>
      <c r="DZ11" s="2556"/>
      <c r="EA11" s="2556"/>
      <c r="EB11" s="2556"/>
      <c r="EC11" s="2556"/>
      <c r="ED11" s="2556"/>
      <c r="EE11" s="2556"/>
      <c r="EF11" s="2556"/>
      <c r="EG11" s="2556"/>
      <c r="EH11" s="2556"/>
      <c r="EI11" s="2556"/>
      <c r="EJ11" s="2556"/>
      <c r="EK11" s="2556"/>
      <c r="EL11" s="2556"/>
      <c r="EM11" s="2556"/>
      <c r="EN11" s="2556"/>
      <c r="EO11" s="2556"/>
      <c r="EP11" s="2556"/>
      <c r="EQ11" s="2556"/>
      <c r="ER11" s="2556"/>
      <c r="ES11" s="2556"/>
      <c r="ET11" s="2556"/>
      <c r="EU11" s="2556"/>
      <c r="EV11" s="2556"/>
      <c r="EW11" s="2556"/>
      <c r="EX11" s="2556"/>
      <c r="EY11" s="2556"/>
      <c r="EZ11" s="2556"/>
      <c r="FA11" s="2556"/>
      <c r="FB11" s="2556"/>
      <c r="FC11" s="2556"/>
      <c r="FD11" s="2556"/>
      <c r="FE11" s="2556"/>
      <c r="FF11" s="2556"/>
      <c r="FG11" s="2556"/>
      <c r="FH11" s="2556"/>
      <c r="FI11" s="2556"/>
      <c r="FJ11" s="2556"/>
      <c r="FK11" s="2556"/>
      <c r="FL11" s="2556"/>
      <c r="FM11" s="2556"/>
      <c r="FN11" s="2556"/>
      <c r="FO11" s="2556"/>
      <c r="FP11" s="2556"/>
      <c r="FQ11" s="2556"/>
      <c r="FR11" s="2556"/>
      <c r="FS11" s="2556"/>
      <c r="FT11" s="2556"/>
      <c r="FU11" s="2556"/>
      <c r="FV11" s="2556"/>
      <c r="FW11" s="2562"/>
      <c r="FX11" s="984"/>
    </row>
    <row customHeight="1" ht="12">
      <c r="D12" s="1160"/>
      <c r="E12" s="1159"/>
      <c r="F12" s="2339"/>
      <c r="G12" s="2339"/>
      <c r="H12" s="2575"/>
      <c r="I12" s="2575"/>
      <c r="J12" s="2574"/>
      <c r="K12" s="2574"/>
      <c r="L12" s="2574"/>
      <c r="M12" s="2574"/>
      <c r="N12" s="2574"/>
      <c r="O12" s="2343" t="s">
        <v>1101</v>
      </c>
      <c r="P12" s="2343"/>
      <c r="Q12" s="2343"/>
      <c r="R12" s="2343"/>
      <c r="S12" s="2343" t="s">
        <v>1102</v>
      </c>
      <c r="T12" s="2343"/>
      <c r="U12" s="2343"/>
      <c r="V12" s="2343"/>
      <c r="W12" s="2343"/>
      <c r="X12" s="2343"/>
      <c r="Y12" s="2343"/>
      <c r="Z12" s="2343"/>
      <c r="AA12" s="2343"/>
      <c r="AB12" s="2343"/>
      <c r="AC12" s="2556"/>
      <c r="AD12" s="2556"/>
      <c r="AE12" s="2556"/>
      <c r="AF12" s="2556"/>
      <c r="AG12" s="2556"/>
      <c r="AH12" s="2556"/>
      <c r="AI12" s="2556"/>
      <c r="AJ12" s="2556"/>
      <c r="AK12" s="2556"/>
      <c r="AL12" s="2556"/>
      <c r="AM12" s="2556"/>
      <c r="AN12" s="2556"/>
      <c r="AO12" s="2556"/>
      <c r="AP12" s="2556"/>
      <c r="AQ12" s="2556"/>
      <c r="AR12" s="2556"/>
      <c r="AS12" s="2556"/>
      <c r="AT12" s="2556"/>
      <c r="AU12" s="2556"/>
      <c r="AV12" s="2556"/>
      <c r="AW12" s="2556"/>
      <c r="AX12" s="2556"/>
      <c r="AY12" s="2556"/>
      <c r="AZ12" s="2556"/>
      <c r="BA12" s="2556"/>
      <c r="BB12" s="2556"/>
      <c r="BC12" s="2556"/>
      <c r="BD12" s="2556"/>
      <c r="BE12" s="2556"/>
      <c r="BF12" s="2556"/>
      <c r="BG12" s="2556"/>
      <c r="BH12" s="2556"/>
      <c r="BI12" s="2556"/>
      <c r="BJ12" s="2556"/>
      <c r="BK12" s="2556"/>
      <c r="BL12" s="2556"/>
      <c r="BM12" s="2556"/>
      <c r="BN12" s="2556"/>
      <c r="BO12" s="2556"/>
      <c r="BP12" s="2556"/>
      <c r="BQ12" s="2556"/>
      <c r="BR12" s="2556"/>
      <c r="BS12" s="2557"/>
      <c r="BT12" s="2554" t="s">
        <v>1103</v>
      </c>
      <c r="BU12" s="2558"/>
      <c r="BV12" s="2558"/>
      <c r="BW12" s="2555"/>
      <c r="BX12" s="2554" t="s">
        <v>1104</v>
      </c>
      <c r="BY12" s="2558"/>
      <c r="BZ12" s="2558"/>
      <c r="CA12" s="2555"/>
      <c r="CB12" s="2554" t="s">
        <v>1105</v>
      </c>
      <c r="CC12" s="2555"/>
      <c r="CD12" s="2554" t="s">
        <v>1106</v>
      </c>
      <c r="CE12" s="2558"/>
      <c r="CF12" s="2558"/>
      <c r="CG12" s="2558"/>
      <c r="CH12" s="2558"/>
      <c r="CI12" s="2558"/>
      <c r="CJ12" s="2558"/>
      <c r="CK12" s="2555"/>
      <c r="CL12" s="2564"/>
      <c r="CM12" s="2556"/>
      <c r="CN12" s="2556"/>
      <c r="CO12" s="2556"/>
      <c r="CP12" s="2556"/>
      <c r="CQ12" s="2556"/>
      <c r="CR12" s="2556"/>
      <c r="CS12" s="2556"/>
      <c r="CT12" s="2556"/>
      <c r="CU12" s="2556"/>
      <c r="CV12" s="2556"/>
      <c r="CW12" s="2556"/>
      <c r="CX12" s="2557"/>
      <c r="CY12" s="2554" t="s">
        <v>1107</v>
      </c>
      <c r="CZ12" s="2558"/>
      <c r="DA12" s="2558"/>
      <c r="DB12" s="2558"/>
      <c r="DC12" s="2558"/>
      <c r="DD12" s="2555"/>
      <c r="DE12" s="2554" t="s">
        <v>1108</v>
      </c>
      <c r="DF12" s="2555"/>
      <c r="DG12" s="2554" t="s">
        <v>1106</v>
      </c>
      <c r="DH12" s="2558"/>
      <c r="DI12" s="2558"/>
      <c r="DJ12" s="2555"/>
      <c r="DK12" s="2564"/>
      <c r="DL12" s="2556"/>
      <c r="DM12" s="2556"/>
      <c r="DN12" s="2556"/>
      <c r="DO12" s="2556"/>
      <c r="DP12" s="2556"/>
      <c r="DQ12" s="2556"/>
      <c r="DR12" s="2556"/>
      <c r="DS12" s="2556"/>
      <c r="DT12" s="2556"/>
      <c r="DU12" s="2556"/>
      <c r="DV12" s="2556"/>
      <c r="DW12" s="2556"/>
      <c r="DX12" s="2556"/>
      <c r="DY12" s="2556"/>
      <c r="DZ12" s="2556"/>
      <c r="EA12" s="2556"/>
      <c r="EB12" s="2556"/>
      <c r="EC12" s="2556"/>
      <c r="ED12" s="2556"/>
      <c r="EE12" s="2556"/>
      <c r="EF12" s="2556"/>
      <c r="EG12" s="2556"/>
      <c r="EH12" s="2556"/>
      <c r="EI12" s="2556"/>
      <c r="EJ12" s="2556"/>
      <c r="EK12" s="2556"/>
      <c r="EL12" s="2556"/>
      <c r="EM12" s="2556"/>
      <c r="EN12" s="2556"/>
      <c r="EO12" s="2556"/>
      <c r="EP12" s="2556"/>
      <c r="EQ12" s="2556"/>
      <c r="ER12" s="2556"/>
      <c r="ES12" s="2556"/>
      <c r="ET12" s="2556"/>
      <c r="EU12" s="2556"/>
      <c r="EV12" s="2556"/>
      <c r="EW12" s="2556"/>
      <c r="EX12" s="2556"/>
      <c r="EY12" s="2556"/>
      <c r="EZ12" s="2556"/>
      <c r="FA12" s="2556"/>
      <c r="FB12" s="2556"/>
      <c r="FC12" s="2556"/>
      <c r="FD12" s="2556"/>
      <c r="FE12" s="2556"/>
      <c r="FF12" s="2556"/>
      <c r="FG12" s="2556"/>
      <c r="FH12" s="2556"/>
      <c r="FI12" s="2556"/>
      <c r="FJ12" s="2556"/>
      <c r="FK12" s="2556"/>
      <c r="FL12" s="2556"/>
      <c r="FM12" s="2556"/>
      <c r="FN12" s="2556"/>
      <c r="FO12" s="2556"/>
      <c r="FP12" s="2556"/>
      <c r="FQ12" s="2556"/>
      <c r="FR12" s="2556"/>
      <c r="FS12" s="2556"/>
      <c r="FT12" s="2556"/>
      <c r="FU12" s="2556"/>
      <c r="FV12" s="2556"/>
      <c r="FW12" s="2562"/>
      <c r="FX12" s="984"/>
    </row>
    <row customHeight="1" ht="36">
      <c r="D13" s="1160"/>
      <c r="E13" s="1159"/>
      <c r="F13" s="2339"/>
      <c r="G13" s="2339"/>
      <c r="H13" s="2575"/>
      <c r="I13" s="2575"/>
      <c r="J13" s="2574"/>
      <c r="K13" s="2574"/>
      <c r="L13" s="2574"/>
      <c r="M13" s="2574"/>
      <c r="N13" s="2574"/>
      <c r="O13" s="2343" t="s">
        <v>1109</v>
      </c>
      <c r="P13" s="2343"/>
      <c r="Q13" s="2343"/>
      <c r="R13" s="2343"/>
      <c r="S13" s="2470" t="s">
        <v>1110</v>
      </c>
      <c r="T13" s="2552"/>
      <c r="U13" s="2253" t="s">
        <v>1111</v>
      </c>
      <c r="V13" s="2253"/>
      <c r="W13" s="2253"/>
      <c r="X13" s="2253"/>
      <c r="Y13" s="2253" t="s">
        <v>1112</v>
      </c>
      <c r="Z13" s="2253"/>
      <c r="AA13" s="2253"/>
      <c r="AB13" s="2253"/>
      <c r="AC13" s="2556"/>
      <c r="AD13" s="2556"/>
      <c r="AE13" s="2556"/>
      <c r="AF13" s="2556"/>
      <c r="AG13" s="2556"/>
      <c r="AH13" s="2556"/>
      <c r="AI13" s="2556"/>
      <c r="AJ13" s="2556"/>
      <c r="AK13" s="2556"/>
      <c r="AL13" s="2556"/>
      <c r="AM13" s="2556"/>
      <c r="AN13" s="2556"/>
      <c r="AO13" s="2556"/>
      <c r="AP13" s="2556"/>
      <c r="AQ13" s="2556"/>
      <c r="AR13" s="2556"/>
      <c r="AS13" s="2556"/>
      <c r="AT13" s="2556"/>
      <c r="AU13" s="2556"/>
      <c r="AV13" s="2556"/>
      <c r="AW13" s="2556"/>
      <c r="AX13" s="2556"/>
      <c r="AY13" s="2556"/>
      <c r="AZ13" s="2556"/>
      <c r="BA13" s="2556"/>
      <c r="BB13" s="2556"/>
      <c r="BC13" s="2556"/>
      <c r="BD13" s="2556"/>
      <c r="BE13" s="2556"/>
      <c r="BF13" s="2556"/>
      <c r="BG13" s="2556"/>
      <c r="BH13" s="2556"/>
      <c r="BI13" s="2556"/>
      <c r="BJ13" s="2556"/>
      <c r="BK13" s="2556"/>
      <c r="BL13" s="2556"/>
      <c r="BM13" s="2556"/>
      <c r="BN13" s="2556"/>
      <c r="BO13" s="2556"/>
      <c r="BP13" s="2556"/>
      <c r="BQ13" s="2556"/>
      <c r="BR13" s="2556"/>
      <c r="BS13" s="2557"/>
      <c r="BT13" s="2470" t="s">
        <v>1113</v>
      </c>
      <c r="BU13" s="2552"/>
      <c r="BV13" s="2470" t="s">
        <v>1114</v>
      </c>
      <c r="BW13" s="2552"/>
      <c r="BX13" s="2470" t="s">
        <v>1115</v>
      </c>
      <c r="BY13" s="2552"/>
      <c r="BZ13" s="2470" t="s">
        <v>1116</v>
      </c>
      <c r="CA13" s="2552"/>
      <c r="CB13" s="2470" t="s">
        <v>1117</v>
      </c>
      <c r="CC13" s="2552"/>
      <c r="CD13" s="2470" t="s">
        <v>1118</v>
      </c>
      <c r="CE13" s="2552"/>
      <c r="CF13" s="2470" t="s">
        <v>1119</v>
      </c>
      <c r="CG13" s="2552"/>
      <c r="CH13" s="2554" t="s">
        <v>1120</v>
      </c>
      <c r="CI13" s="2558"/>
      <c r="CJ13" s="2558"/>
      <c r="CK13" s="2555"/>
      <c r="CL13" s="2564"/>
      <c r="CM13" s="2556"/>
      <c r="CN13" s="2556"/>
      <c r="CO13" s="2556"/>
      <c r="CP13" s="2556"/>
      <c r="CQ13" s="2556"/>
      <c r="CR13" s="2556"/>
      <c r="CS13" s="2556"/>
      <c r="CT13" s="2556"/>
      <c r="CU13" s="2556"/>
      <c r="CV13" s="2556"/>
      <c r="CW13" s="2556"/>
      <c r="CX13" s="2557"/>
      <c r="CY13" s="2470" t="s">
        <v>1121</v>
      </c>
      <c r="CZ13" s="2552"/>
      <c r="DA13" s="2470" t="s">
        <v>1122</v>
      </c>
      <c r="DB13" s="2552"/>
      <c r="DC13" s="2470" t="s">
        <v>1123</v>
      </c>
      <c r="DD13" s="2552"/>
      <c r="DE13" s="2470" t="s">
        <v>1124</v>
      </c>
      <c r="DF13" s="2552"/>
      <c r="DG13" s="2554" t="s">
        <v>1125</v>
      </c>
      <c r="DH13" s="2558"/>
      <c r="DI13" s="2558"/>
      <c r="DJ13" s="2555"/>
      <c r="DK13" s="2564"/>
      <c r="DL13" s="2556"/>
      <c r="DM13" s="2556"/>
      <c r="DN13" s="2556"/>
      <c r="DO13" s="2556"/>
      <c r="DP13" s="2556"/>
      <c r="DQ13" s="2556"/>
      <c r="DR13" s="2556"/>
      <c r="DS13" s="2556"/>
      <c r="DT13" s="2556"/>
      <c r="DU13" s="2556"/>
      <c r="DV13" s="2556"/>
      <c r="DW13" s="2556"/>
      <c r="DX13" s="2556"/>
      <c r="DY13" s="2556"/>
      <c r="DZ13" s="2556"/>
      <c r="EA13" s="2556"/>
      <c r="EB13" s="2556"/>
      <c r="EC13" s="2556"/>
      <c r="ED13" s="2556"/>
      <c r="EE13" s="2556"/>
      <c r="EF13" s="2556"/>
      <c r="EG13" s="2556"/>
      <c r="EH13" s="2556"/>
      <c r="EI13" s="2556"/>
      <c r="EJ13" s="2556"/>
      <c r="EK13" s="2556"/>
      <c r="EL13" s="2556"/>
      <c r="EM13" s="2556"/>
      <c r="EN13" s="2556"/>
      <c r="EO13" s="2556"/>
      <c r="EP13" s="2556"/>
      <c r="EQ13" s="2556"/>
      <c r="ER13" s="2556"/>
      <c r="ES13" s="2556"/>
      <c r="ET13" s="2556"/>
      <c r="EU13" s="2556"/>
      <c r="EV13" s="2556"/>
      <c r="EW13" s="2556"/>
      <c r="EX13" s="2556"/>
      <c r="EY13" s="2556"/>
      <c r="EZ13" s="2556"/>
      <c r="FA13" s="2556"/>
      <c r="FB13" s="2556"/>
      <c r="FC13" s="2556"/>
      <c r="FD13" s="2556"/>
      <c r="FE13" s="2556"/>
      <c r="FF13" s="2556"/>
      <c r="FG13" s="2556"/>
      <c r="FH13" s="2556"/>
      <c r="FI13" s="2556"/>
      <c r="FJ13" s="2556"/>
      <c r="FK13" s="2556"/>
      <c r="FL13" s="2556"/>
      <c r="FM13" s="2556"/>
      <c r="FN13" s="2556"/>
      <c r="FO13" s="2556"/>
      <c r="FP13" s="2556"/>
      <c r="FQ13" s="2556"/>
      <c r="FR13" s="2556"/>
      <c r="FS13" s="2556"/>
      <c r="FT13" s="2556"/>
      <c r="FU13" s="2556"/>
      <c r="FV13" s="2556"/>
      <c r="FW13" s="2562"/>
      <c r="FX13" s="984"/>
    </row>
    <row customHeight="1" ht="36">
      <c r="D14" s="1160"/>
      <c r="E14" s="1159"/>
      <c r="F14" s="2339"/>
      <c r="G14" s="2339"/>
      <c r="H14" s="2575"/>
      <c r="I14" s="2575"/>
      <c r="J14" s="2574"/>
      <c r="K14" s="2574"/>
      <c r="L14" s="2574"/>
      <c r="M14" s="2574"/>
      <c r="N14" s="2574"/>
      <c r="O14" s="2470" t="s">
        <v>1126</v>
      </c>
      <c r="P14" s="2552"/>
      <c r="Q14" s="2470" t="s">
        <v>1127</v>
      </c>
      <c r="R14" s="2552"/>
      <c r="S14" s="2471"/>
      <c r="T14" s="2347"/>
      <c r="U14" s="2470" t="s">
        <v>856</v>
      </c>
      <c r="V14" s="2552"/>
      <c r="W14" s="2470" t="s">
        <v>859</v>
      </c>
      <c r="X14" s="2552"/>
      <c r="Y14" s="2470" t="s">
        <v>856</v>
      </c>
      <c r="Z14" s="2552"/>
      <c r="AA14" s="2470" t="s">
        <v>866</v>
      </c>
      <c r="AB14" s="2552"/>
      <c r="AC14" s="2556"/>
      <c r="AD14" s="2556"/>
      <c r="AE14" s="2556"/>
      <c r="AF14" s="2556"/>
      <c r="AG14" s="2556"/>
      <c r="AH14" s="2556"/>
      <c r="AI14" s="2556"/>
      <c r="AJ14" s="2556"/>
      <c r="AK14" s="2556"/>
      <c r="AL14" s="2556"/>
      <c r="AM14" s="2556"/>
      <c r="AN14" s="2556"/>
      <c r="AO14" s="2556"/>
      <c r="AP14" s="2556"/>
      <c r="AQ14" s="2556"/>
      <c r="AR14" s="2556"/>
      <c r="AS14" s="2556"/>
      <c r="AT14" s="2556"/>
      <c r="AU14" s="2556"/>
      <c r="AV14" s="2556"/>
      <c r="AW14" s="2556"/>
      <c r="AX14" s="2556"/>
      <c r="AY14" s="2556"/>
      <c r="AZ14" s="2556"/>
      <c r="BA14" s="2556"/>
      <c r="BB14" s="2556"/>
      <c r="BC14" s="2556"/>
      <c r="BD14" s="2556"/>
      <c r="BE14" s="2556"/>
      <c r="BF14" s="2556"/>
      <c r="BG14" s="2556"/>
      <c r="BH14" s="2556"/>
      <c r="BI14" s="2556"/>
      <c r="BJ14" s="2556"/>
      <c r="BK14" s="2556"/>
      <c r="BL14" s="2556"/>
      <c r="BM14" s="2556"/>
      <c r="BN14" s="2556"/>
      <c r="BO14" s="2556"/>
      <c r="BP14" s="2556"/>
      <c r="BQ14" s="2556"/>
      <c r="BR14" s="2556"/>
      <c r="BS14" s="2557"/>
      <c r="BT14" s="2471"/>
      <c r="BU14" s="2347"/>
      <c r="BV14" s="2471"/>
      <c r="BW14" s="2347"/>
      <c r="BX14" s="2471"/>
      <c r="BY14" s="2347"/>
      <c r="BZ14" s="2471"/>
      <c r="CA14" s="2347"/>
      <c r="CB14" s="2471"/>
      <c r="CC14" s="2347"/>
      <c r="CD14" s="2471"/>
      <c r="CE14" s="2347"/>
      <c r="CF14" s="2471"/>
      <c r="CG14" s="2347"/>
      <c r="CH14" s="2470" t="s">
        <v>1128</v>
      </c>
      <c r="CI14" s="2552"/>
      <c r="CJ14" s="2470" t="s">
        <v>1129</v>
      </c>
      <c r="CK14" s="2552"/>
      <c r="CL14" s="2564"/>
      <c r="CM14" s="2556"/>
      <c r="CN14" s="2556"/>
      <c r="CO14" s="2556"/>
      <c r="CP14" s="2556"/>
      <c r="CQ14" s="2556"/>
      <c r="CR14" s="2556"/>
      <c r="CS14" s="2556"/>
      <c r="CT14" s="2556"/>
      <c r="CU14" s="2556"/>
      <c r="CV14" s="2556"/>
      <c r="CW14" s="2556"/>
      <c r="CX14" s="2557"/>
      <c r="CY14" s="2471"/>
      <c r="CZ14" s="2347"/>
      <c r="DA14" s="2471"/>
      <c r="DB14" s="2347"/>
      <c r="DC14" s="2471"/>
      <c r="DD14" s="2347"/>
      <c r="DE14" s="2471"/>
      <c r="DF14" s="2347"/>
      <c r="DG14" s="2470" t="s">
        <v>1130</v>
      </c>
      <c r="DH14" s="2552"/>
      <c r="DI14" s="2470" t="s">
        <v>1131</v>
      </c>
      <c r="DJ14" s="2552"/>
      <c r="DK14" s="2564"/>
      <c r="DL14" s="2556"/>
      <c r="DM14" s="2556"/>
      <c r="DN14" s="2556"/>
      <c r="DO14" s="2556"/>
      <c r="DP14" s="2556"/>
      <c r="DQ14" s="2556"/>
      <c r="DR14" s="2556"/>
      <c r="DS14" s="2556"/>
      <c r="DT14" s="2556"/>
      <c r="DU14" s="2556"/>
      <c r="DV14" s="2556"/>
      <c r="DW14" s="2556"/>
      <c r="DX14" s="2556"/>
      <c r="DY14" s="2556"/>
      <c r="DZ14" s="2556"/>
      <c r="EA14" s="2556"/>
      <c r="EB14" s="2556"/>
      <c r="EC14" s="2556"/>
      <c r="ED14" s="2556"/>
      <c r="EE14" s="2556"/>
      <c r="EF14" s="2556"/>
      <c r="EG14" s="2556"/>
      <c r="EH14" s="2556"/>
      <c r="EI14" s="2556"/>
      <c r="EJ14" s="2556"/>
      <c r="EK14" s="2556"/>
      <c r="EL14" s="2556"/>
      <c r="EM14" s="2556"/>
      <c r="EN14" s="2556"/>
      <c r="EO14" s="2556"/>
      <c r="EP14" s="2556"/>
      <c r="EQ14" s="2556"/>
      <c r="ER14" s="2556"/>
      <c r="ES14" s="2556"/>
      <c r="ET14" s="2556"/>
      <c r="EU14" s="2556"/>
      <c r="EV14" s="2556"/>
      <c r="EW14" s="2556"/>
      <c r="EX14" s="2556"/>
      <c r="EY14" s="2556"/>
      <c r="EZ14" s="2556"/>
      <c r="FA14" s="2556"/>
      <c r="FB14" s="2556"/>
      <c r="FC14" s="2556"/>
      <c r="FD14" s="2556"/>
      <c r="FE14" s="2556"/>
      <c r="FF14" s="2556"/>
      <c r="FG14" s="2556"/>
      <c r="FH14" s="2556"/>
      <c r="FI14" s="2556"/>
      <c r="FJ14" s="2556"/>
      <c r="FK14" s="2556"/>
      <c r="FL14" s="2556"/>
      <c r="FM14" s="2556"/>
      <c r="FN14" s="2556"/>
      <c r="FO14" s="2556"/>
      <c r="FP14" s="2556"/>
      <c r="FQ14" s="2556"/>
      <c r="FR14" s="2556"/>
      <c r="FS14" s="2556"/>
      <c r="FT14" s="2556"/>
      <c r="FU14" s="2556"/>
      <c r="FV14" s="2556"/>
      <c r="FW14" s="2562"/>
      <c r="FX14" s="984"/>
    </row>
    <row customHeight="1" ht="36">
      <c r="D15" s="1160"/>
      <c r="E15" s="1159"/>
      <c r="F15" s="2339"/>
      <c r="G15" s="2339"/>
      <c r="H15" s="2575"/>
      <c r="I15" s="2575"/>
      <c r="J15" s="2574"/>
      <c r="K15" s="2574"/>
      <c r="L15" s="2574"/>
      <c r="M15" s="2574"/>
      <c r="N15" s="2574"/>
      <c r="O15" s="2472"/>
      <c r="P15" s="2553"/>
      <c r="Q15" s="2472"/>
      <c r="R15" s="2553"/>
      <c r="S15" s="2472"/>
      <c r="T15" s="2553"/>
      <c r="U15" s="2472"/>
      <c r="V15" s="2553"/>
      <c r="W15" s="2472"/>
      <c r="X15" s="2553"/>
      <c r="Y15" s="2472"/>
      <c r="Z15" s="2553"/>
      <c r="AA15" s="2472"/>
      <c r="AB15" s="2553"/>
      <c r="AC15" s="2556"/>
      <c r="AD15" s="2556"/>
      <c r="AE15" s="2556"/>
      <c r="AF15" s="2556"/>
      <c r="AG15" s="2556"/>
      <c r="AH15" s="2556"/>
      <c r="AI15" s="2556"/>
      <c r="AJ15" s="2556"/>
      <c r="AK15" s="2556"/>
      <c r="AL15" s="2556"/>
      <c r="AM15" s="2556"/>
      <c r="AN15" s="2556"/>
      <c r="AO15" s="2556"/>
      <c r="AP15" s="2556"/>
      <c r="AQ15" s="2556"/>
      <c r="AR15" s="2556"/>
      <c r="AS15" s="2556"/>
      <c r="AT15" s="2556"/>
      <c r="AU15" s="2556"/>
      <c r="AV15" s="2556"/>
      <c r="AW15" s="2556"/>
      <c r="AX15" s="2556"/>
      <c r="AY15" s="2556"/>
      <c r="AZ15" s="2556"/>
      <c r="BA15" s="2556"/>
      <c r="BB15" s="2556"/>
      <c r="BC15" s="2556"/>
      <c r="BD15" s="2556"/>
      <c r="BE15" s="2556"/>
      <c r="BF15" s="2556"/>
      <c r="BG15" s="2556"/>
      <c r="BH15" s="2556"/>
      <c r="BI15" s="2556"/>
      <c r="BJ15" s="2556"/>
      <c r="BK15" s="2556"/>
      <c r="BL15" s="2556"/>
      <c r="BM15" s="2556"/>
      <c r="BN15" s="2556"/>
      <c r="BO15" s="2556"/>
      <c r="BP15" s="2556"/>
      <c r="BQ15" s="2556"/>
      <c r="BR15" s="2556"/>
      <c r="BS15" s="2557"/>
      <c r="BT15" s="2472"/>
      <c r="BU15" s="2553"/>
      <c r="BV15" s="2472"/>
      <c r="BW15" s="2553"/>
      <c r="BX15" s="2472"/>
      <c r="BY15" s="2553"/>
      <c r="BZ15" s="2472"/>
      <c r="CA15" s="2553"/>
      <c r="CB15" s="2472"/>
      <c r="CC15" s="2553"/>
      <c r="CD15" s="2472"/>
      <c r="CE15" s="2553"/>
      <c r="CF15" s="2472"/>
      <c r="CG15" s="2553"/>
      <c r="CH15" s="2472"/>
      <c r="CI15" s="2553"/>
      <c r="CJ15" s="2472"/>
      <c r="CK15" s="2553"/>
      <c r="CL15" s="2564"/>
      <c r="CM15" s="2556"/>
      <c r="CN15" s="2556"/>
      <c r="CO15" s="2556"/>
      <c r="CP15" s="2556"/>
      <c r="CQ15" s="2556"/>
      <c r="CR15" s="2556"/>
      <c r="CS15" s="2556"/>
      <c r="CT15" s="2556"/>
      <c r="CU15" s="2556"/>
      <c r="CV15" s="2556"/>
      <c r="CW15" s="2556"/>
      <c r="CX15" s="2557"/>
      <c r="CY15" s="2472"/>
      <c r="CZ15" s="2553"/>
      <c r="DA15" s="2472"/>
      <c r="DB15" s="2553"/>
      <c r="DC15" s="2472"/>
      <c r="DD15" s="2553"/>
      <c r="DE15" s="2472"/>
      <c r="DF15" s="2553"/>
      <c r="DG15" s="2472"/>
      <c r="DH15" s="2553"/>
      <c r="DI15" s="2472"/>
      <c r="DJ15" s="2553"/>
      <c r="DK15" s="2564"/>
      <c r="DL15" s="2556"/>
      <c r="DM15" s="2556"/>
      <c r="DN15" s="2556"/>
      <c r="DO15" s="2556"/>
      <c r="DP15" s="2556"/>
      <c r="DQ15" s="2556"/>
      <c r="DR15" s="2556"/>
      <c r="DS15" s="2556"/>
      <c r="DT15" s="2556"/>
      <c r="DU15" s="2556"/>
      <c r="DV15" s="2556"/>
      <c r="DW15" s="2556"/>
      <c r="DX15" s="2556"/>
      <c r="DY15" s="2556"/>
      <c r="DZ15" s="2556"/>
      <c r="EA15" s="2556"/>
      <c r="EB15" s="2556"/>
      <c r="EC15" s="2556"/>
      <c r="ED15" s="2556"/>
      <c r="EE15" s="2556"/>
      <c r="EF15" s="2556"/>
      <c r="EG15" s="2556"/>
      <c r="EH15" s="2556"/>
      <c r="EI15" s="2556"/>
      <c r="EJ15" s="2556"/>
      <c r="EK15" s="2556"/>
      <c r="EL15" s="2556"/>
      <c r="EM15" s="2556"/>
      <c r="EN15" s="2556"/>
      <c r="EO15" s="2556"/>
      <c r="EP15" s="2556"/>
      <c r="EQ15" s="2556"/>
      <c r="ER15" s="2556"/>
      <c r="ES15" s="2556"/>
      <c r="ET15" s="2556"/>
      <c r="EU15" s="2556"/>
      <c r="EV15" s="2556"/>
      <c r="EW15" s="2556"/>
      <c r="EX15" s="2556"/>
      <c r="EY15" s="2556"/>
      <c r="EZ15" s="2556"/>
      <c r="FA15" s="2556"/>
      <c r="FB15" s="2556"/>
      <c r="FC15" s="2556"/>
      <c r="FD15" s="2556"/>
      <c r="FE15" s="2556"/>
      <c r="FF15" s="2556"/>
      <c r="FG15" s="2556"/>
      <c r="FH15" s="2556"/>
      <c r="FI15" s="2556"/>
      <c r="FJ15" s="2556"/>
      <c r="FK15" s="2556"/>
      <c r="FL15" s="2556"/>
      <c r="FM15" s="2556"/>
      <c r="FN15" s="2556"/>
      <c r="FO15" s="2556"/>
      <c r="FP15" s="2556"/>
      <c r="FQ15" s="2556"/>
      <c r="FR15" s="2556"/>
      <c r="FS15" s="2556"/>
      <c r="FT15" s="2556"/>
      <c r="FU15" s="2556"/>
      <c r="FV15" s="2556"/>
      <c r="FW15" s="2562"/>
      <c r="FX15" s="984"/>
    </row>
    <row customHeight="1" ht="12">
      <c r="D16" s="1160"/>
      <c r="E16" s="1159"/>
      <c r="F16" s="2339"/>
      <c r="G16" s="2339"/>
      <c r="H16" s="2575"/>
      <c r="I16" s="2575"/>
      <c r="J16" s="2574"/>
      <c r="K16" s="2574"/>
      <c r="L16" s="2574"/>
      <c r="M16" s="2574"/>
      <c r="N16" s="2574"/>
      <c r="O16" s="2554" t="s">
        <v>846</v>
      </c>
      <c r="P16" s="2555"/>
      <c r="Q16" s="2554" t="s">
        <v>848</v>
      </c>
      <c r="R16" s="2555"/>
      <c r="S16" s="2554" t="s">
        <v>852</v>
      </c>
      <c r="T16" s="2555"/>
      <c r="U16" s="2554" t="s">
        <v>857</v>
      </c>
      <c r="V16" s="2555"/>
      <c r="W16" s="2554" t="s">
        <v>860</v>
      </c>
      <c r="X16" s="2555"/>
      <c r="Y16" s="2554" t="s">
        <v>864</v>
      </c>
      <c r="Z16" s="2555"/>
      <c r="AA16" s="2554" t="s">
        <v>867</v>
      </c>
      <c r="AB16" s="2555"/>
      <c r="AC16" s="2556"/>
      <c r="AD16" s="2556"/>
      <c r="AE16" s="2556"/>
      <c r="AF16" s="2556"/>
      <c r="AG16" s="2556"/>
      <c r="AH16" s="2556"/>
      <c r="AI16" s="2556"/>
      <c r="AJ16" s="2556"/>
      <c r="AK16" s="2556"/>
      <c r="AL16" s="2556"/>
      <c r="AM16" s="2556"/>
      <c r="AN16" s="2556"/>
      <c r="AO16" s="2556"/>
      <c r="AP16" s="2556"/>
      <c r="AQ16" s="2556"/>
      <c r="AR16" s="2556"/>
      <c r="AS16" s="2556"/>
      <c r="AT16" s="2556"/>
      <c r="AU16" s="2556"/>
      <c r="AV16" s="2556"/>
      <c r="AW16" s="2556"/>
      <c r="AX16" s="2556"/>
      <c r="AY16" s="2556"/>
      <c r="AZ16" s="2556"/>
      <c r="BA16" s="2556"/>
      <c r="BB16" s="2556"/>
      <c r="BC16" s="2556"/>
      <c r="BD16" s="2556"/>
      <c r="BE16" s="2556"/>
      <c r="BF16" s="2556"/>
      <c r="BG16" s="2556"/>
      <c r="BH16" s="2556"/>
      <c r="BI16" s="2556"/>
      <c r="BJ16" s="2556"/>
      <c r="BK16" s="2556"/>
      <c r="BL16" s="2556"/>
      <c r="BM16" s="2556"/>
      <c r="BN16" s="2556"/>
      <c r="BO16" s="2556"/>
      <c r="BP16" s="2556"/>
      <c r="BQ16" s="2556"/>
      <c r="BR16" s="2556"/>
      <c r="BS16" s="2557"/>
      <c r="BT16" s="2554" t="s">
        <v>664</v>
      </c>
      <c r="BU16" s="2555"/>
      <c r="BV16" s="2554" t="s">
        <v>664</v>
      </c>
      <c r="BW16" s="2555"/>
      <c r="BX16" s="2554" t="s">
        <v>664</v>
      </c>
      <c r="BY16" s="2555"/>
      <c r="BZ16" s="2554" t="s">
        <v>664</v>
      </c>
      <c r="CA16" s="2555"/>
      <c r="CB16" s="2554" t="s">
        <v>1132</v>
      </c>
      <c r="CC16" s="2555"/>
      <c r="CD16" s="2554" t="s">
        <v>664</v>
      </c>
      <c r="CE16" s="2555"/>
      <c r="CF16" s="2554" t="s">
        <v>1133</v>
      </c>
      <c r="CG16" s="2555"/>
      <c r="CH16" s="2554" t="s">
        <v>1134</v>
      </c>
      <c r="CI16" s="2555"/>
      <c r="CJ16" s="2554" t="s">
        <v>1134</v>
      </c>
      <c r="CK16" s="2555"/>
      <c r="CL16" s="2564"/>
      <c r="CM16" s="2556"/>
      <c r="CN16" s="2556"/>
      <c r="CO16" s="2556"/>
      <c r="CP16" s="2556"/>
      <c r="CQ16" s="2556"/>
      <c r="CR16" s="2556"/>
      <c r="CS16" s="2556"/>
      <c r="CT16" s="2556"/>
      <c r="CU16" s="2556"/>
      <c r="CV16" s="2556"/>
      <c r="CW16" s="2556"/>
      <c r="CX16" s="2557"/>
      <c r="CY16" s="2470" t="s">
        <v>664</v>
      </c>
      <c r="CZ16" s="2552"/>
      <c r="DA16" s="2470" t="s">
        <v>664</v>
      </c>
      <c r="DB16" s="2552"/>
      <c r="DC16" s="2470" t="s">
        <v>664</v>
      </c>
      <c r="DD16" s="2552"/>
      <c r="DE16" s="2554" t="s">
        <v>1132</v>
      </c>
      <c r="DF16" s="2555"/>
      <c r="DG16" s="2554" t="s">
        <v>1135</v>
      </c>
      <c r="DH16" s="2555"/>
      <c r="DI16" s="2554" t="s">
        <v>1135</v>
      </c>
      <c r="DJ16" s="2555"/>
      <c r="DK16" s="2564"/>
      <c r="DL16" s="2556"/>
      <c r="DM16" s="2556"/>
      <c r="DN16" s="2556"/>
      <c r="DO16" s="2556"/>
      <c r="DP16" s="2556"/>
      <c r="DQ16" s="2556"/>
      <c r="DR16" s="2556"/>
      <c r="DS16" s="2556"/>
      <c r="DT16" s="2556"/>
      <c r="DU16" s="2556"/>
      <c r="DV16" s="2556"/>
      <c r="DW16" s="2556"/>
      <c r="DX16" s="2556"/>
      <c r="DY16" s="2556"/>
      <c r="DZ16" s="2556"/>
      <c r="EA16" s="2556"/>
      <c r="EB16" s="2556"/>
      <c r="EC16" s="2556"/>
      <c r="ED16" s="2556"/>
      <c r="EE16" s="2556"/>
      <c r="EF16" s="2556"/>
      <c r="EG16" s="2556"/>
      <c r="EH16" s="2556"/>
      <c r="EI16" s="2556"/>
      <c r="EJ16" s="2556"/>
      <c r="EK16" s="2556"/>
      <c r="EL16" s="2556"/>
      <c r="EM16" s="2556"/>
      <c r="EN16" s="2556"/>
      <c r="EO16" s="2556"/>
      <c r="EP16" s="2556"/>
      <c r="EQ16" s="2556"/>
      <c r="ER16" s="2556"/>
      <c r="ES16" s="2556"/>
      <c r="ET16" s="2556"/>
      <c r="EU16" s="2556"/>
      <c r="EV16" s="2556"/>
      <c r="EW16" s="2556"/>
      <c r="EX16" s="2556"/>
      <c r="EY16" s="2556"/>
      <c r="EZ16" s="2556"/>
      <c r="FA16" s="2556"/>
      <c r="FB16" s="2556"/>
      <c r="FC16" s="2556"/>
      <c r="FD16" s="2556"/>
      <c r="FE16" s="2556"/>
      <c r="FF16" s="2556"/>
      <c r="FG16" s="2556"/>
      <c r="FH16" s="2556"/>
      <c r="FI16" s="2556"/>
      <c r="FJ16" s="2556"/>
      <c r="FK16" s="2556"/>
      <c r="FL16" s="2556"/>
      <c r="FM16" s="2556"/>
      <c r="FN16" s="2556"/>
      <c r="FO16" s="2556"/>
      <c r="FP16" s="2556"/>
      <c r="FQ16" s="2556"/>
      <c r="FR16" s="2556"/>
      <c r="FS16" s="2556"/>
      <c r="FT16" s="2556"/>
      <c r="FU16" s="2556"/>
      <c r="FV16" s="2556"/>
      <c r="FW16" s="2562"/>
      <c r="FX16" s="984"/>
    </row>
    <row customHeight="1" ht="15">
      <c r="E17" s="1159"/>
      <c r="F17" s="2339"/>
      <c r="G17" s="2339"/>
      <c r="H17" s="2575"/>
      <c r="I17" s="2575"/>
      <c r="J17" s="2574"/>
      <c r="K17" s="2574"/>
      <c r="L17" s="2574"/>
      <c r="M17" s="2574"/>
      <c r="N17" s="2574"/>
      <c r="O17" s="1417" t="s">
        <v>1136</v>
      </c>
      <c r="P17" s="1417" t="s">
        <v>1137</v>
      </c>
      <c r="Q17" s="1417" t="s">
        <v>1136</v>
      </c>
      <c r="R17" s="1417" t="s">
        <v>1137</v>
      </c>
      <c r="S17" s="1417" t="s">
        <v>1136</v>
      </c>
      <c r="T17" s="1417" t="s">
        <v>1137</v>
      </c>
      <c r="U17" s="1417" t="s">
        <v>1136</v>
      </c>
      <c r="V17" s="1417" t="s">
        <v>1137</v>
      </c>
      <c r="W17" s="1417" t="s">
        <v>1136</v>
      </c>
      <c r="X17" s="1417" t="s">
        <v>1137</v>
      </c>
      <c r="Y17" s="1417" t="s">
        <v>1136</v>
      </c>
      <c r="Z17" s="1417" t="s">
        <v>1137</v>
      </c>
      <c r="AA17" s="1417" t="s">
        <v>1136</v>
      </c>
      <c r="AB17" s="1417" t="s">
        <v>1137</v>
      </c>
      <c r="AC17" s="2556"/>
      <c r="AD17" s="2556"/>
      <c r="AE17" s="2556"/>
      <c r="AF17" s="2556"/>
      <c r="AG17" s="2556"/>
      <c r="AH17" s="2556"/>
      <c r="AI17" s="2556"/>
      <c r="AJ17" s="2556"/>
      <c r="AK17" s="2556"/>
      <c r="AL17" s="2556"/>
      <c r="AM17" s="2556"/>
      <c r="AN17" s="2556"/>
      <c r="AO17" s="2556"/>
      <c r="AP17" s="2556"/>
      <c r="AQ17" s="2556"/>
      <c r="AR17" s="2556"/>
      <c r="AS17" s="2556"/>
      <c r="AT17" s="2556"/>
      <c r="AU17" s="2556"/>
      <c r="AV17" s="2556"/>
      <c r="AW17" s="2556"/>
      <c r="AX17" s="2556"/>
      <c r="AY17" s="2556"/>
      <c r="AZ17" s="2556"/>
      <c r="BA17" s="2556"/>
      <c r="BB17" s="2556"/>
      <c r="BC17" s="2556"/>
      <c r="BD17" s="2556"/>
      <c r="BE17" s="2556"/>
      <c r="BF17" s="2556"/>
      <c r="BG17" s="2556"/>
      <c r="BH17" s="2556"/>
      <c r="BI17" s="2556"/>
      <c r="BJ17" s="2556"/>
      <c r="BK17" s="2556"/>
      <c r="BL17" s="2556"/>
      <c r="BM17" s="2556"/>
      <c r="BN17" s="2556"/>
      <c r="BO17" s="2556"/>
      <c r="BP17" s="2556"/>
      <c r="BQ17" s="2556"/>
      <c r="BR17" s="2556"/>
      <c r="BS17" s="2557"/>
      <c r="BT17" s="1417" t="s">
        <v>1136</v>
      </c>
      <c r="BU17" s="1417" t="s">
        <v>1137</v>
      </c>
      <c r="BV17" s="1417" t="s">
        <v>1136</v>
      </c>
      <c r="BW17" s="1417" t="s">
        <v>1137</v>
      </c>
      <c r="BX17" s="1417" t="s">
        <v>1136</v>
      </c>
      <c r="BY17" s="1417" t="s">
        <v>1137</v>
      </c>
      <c r="BZ17" s="1417" t="s">
        <v>1136</v>
      </c>
      <c r="CA17" s="1417" t="s">
        <v>1137</v>
      </c>
      <c r="CB17" s="1417" t="s">
        <v>1136</v>
      </c>
      <c r="CC17" s="1417" t="s">
        <v>1137</v>
      </c>
      <c r="CD17" s="1417" t="s">
        <v>1136</v>
      </c>
      <c r="CE17" s="1417" t="s">
        <v>1137</v>
      </c>
      <c r="CF17" s="1417" t="s">
        <v>1136</v>
      </c>
      <c r="CG17" s="1417" t="s">
        <v>1137</v>
      </c>
      <c r="CH17" s="1417" t="s">
        <v>1136</v>
      </c>
      <c r="CI17" s="1417" t="s">
        <v>1137</v>
      </c>
      <c r="CJ17" s="1417" t="s">
        <v>1136</v>
      </c>
      <c r="CK17" s="1417" t="s">
        <v>1137</v>
      </c>
      <c r="CL17" s="2564"/>
      <c r="CM17" s="2556"/>
      <c r="CN17" s="2556"/>
      <c r="CO17" s="2556"/>
      <c r="CP17" s="2556"/>
      <c r="CQ17" s="2556"/>
      <c r="CR17" s="2556"/>
      <c r="CS17" s="2556"/>
      <c r="CT17" s="2556"/>
      <c r="CU17" s="2556"/>
      <c r="CV17" s="2556"/>
      <c r="CW17" s="2556"/>
      <c r="CX17" s="2557"/>
      <c r="CY17" s="1417" t="s">
        <v>1136</v>
      </c>
      <c r="CZ17" s="1417" t="s">
        <v>1137</v>
      </c>
      <c r="DA17" s="1417" t="s">
        <v>1136</v>
      </c>
      <c r="DB17" s="1417" t="s">
        <v>1137</v>
      </c>
      <c r="DC17" s="1417" t="s">
        <v>1136</v>
      </c>
      <c r="DD17" s="1417" t="s">
        <v>1137</v>
      </c>
      <c r="DE17" s="1417" t="s">
        <v>1136</v>
      </c>
      <c r="DF17" s="1417" t="s">
        <v>1137</v>
      </c>
      <c r="DG17" s="1417" t="s">
        <v>1136</v>
      </c>
      <c r="DH17" s="1417" t="s">
        <v>1137</v>
      </c>
      <c r="DI17" s="1417" t="s">
        <v>1136</v>
      </c>
      <c r="DJ17" s="1417" t="s">
        <v>1137</v>
      </c>
      <c r="DK17" s="2564"/>
      <c r="DL17" s="2556"/>
      <c r="DM17" s="2556"/>
      <c r="DN17" s="2556"/>
      <c r="DO17" s="2556"/>
      <c r="DP17" s="2556"/>
      <c r="DQ17" s="2556"/>
      <c r="DR17" s="2556"/>
      <c r="DS17" s="2556"/>
      <c r="DT17" s="2556"/>
      <c r="DU17" s="2556"/>
      <c r="DV17" s="2556"/>
      <c r="DW17" s="2556"/>
      <c r="DX17" s="2556"/>
      <c r="DY17" s="2556"/>
      <c r="DZ17" s="2556"/>
      <c r="EA17" s="2556"/>
      <c r="EB17" s="2556"/>
      <c r="EC17" s="2556"/>
      <c r="ED17" s="2556"/>
      <c r="EE17" s="2556"/>
      <c r="EF17" s="2556"/>
      <c r="EG17" s="2556"/>
      <c r="EH17" s="2556"/>
      <c r="EI17" s="2556"/>
      <c r="EJ17" s="2556"/>
      <c r="EK17" s="2556"/>
      <c r="EL17" s="2556"/>
      <c r="EM17" s="2556"/>
      <c r="EN17" s="2556"/>
      <c r="EO17" s="2556"/>
      <c r="EP17" s="2556"/>
      <c r="EQ17" s="2556"/>
      <c r="ER17" s="2556"/>
      <c r="ES17" s="2556"/>
      <c r="ET17" s="2556"/>
      <c r="EU17" s="2556"/>
      <c r="EV17" s="2556"/>
      <c r="EW17" s="2556"/>
      <c r="EX17" s="2556"/>
      <c r="EY17" s="2556"/>
      <c r="EZ17" s="2556"/>
      <c r="FA17" s="2556"/>
      <c r="FB17" s="2556"/>
      <c r="FC17" s="2556"/>
      <c r="FD17" s="2556"/>
      <c r="FE17" s="2556"/>
      <c r="FF17" s="2556"/>
      <c r="FG17" s="2556"/>
      <c r="FH17" s="2556"/>
      <c r="FI17" s="2556"/>
      <c r="FJ17" s="2556"/>
      <c r="FK17" s="2556"/>
      <c r="FL17" s="2556"/>
      <c r="FM17" s="2556"/>
      <c r="FN17" s="2556"/>
      <c r="FO17" s="2556"/>
      <c r="FP17" s="2556"/>
      <c r="FQ17" s="2556"/>
      <c r="FR17" s="2556"/>
      <c r="FS17" s="2556"/>
      <c r="FT17" s="2556"/>
      <c r="FU17" s="2556"/>
      <c r="FV17" s="2556"/>
      <c r="FW17" s="2563"/>
      <c r="FX17" s="984"/>
    </row>
    <row s="22186" customFormat="1" customHeight="1" ht="12" hidden="1">
      <c r="B18" s="1145"/>
      <c r="E18" s="1161"/>
      <c r="F18" s="1418"/>
      <c r="G18" s="1418"/>
      <c r="H18" s="1418"/>
      <c r="I18" s="1418"/>
      <c r="J18" s="1419"/>
      <c r="K18" s="1419"/>
      <c r="L18" s="1419"/>
      <c r="M18" s="1419"/>
      <c r="N18" s="1419"/>
      <c r="O18" s="1418"/>
      <c r="P18" s="1418"/>
      <c r="Q18" s="1418"/>
      <c r="R18" s="1418"/>
      <c r="S18" s="1418"/>
      <c r="T18" s="1418"/>
      <c r="U18" s="1420"/>
      <c r="V18" s="1420"/>
      <c r="W18" s="1420"/>
      <c r="X18" s="1420"/>
      <c r="Y18" s="1420"/>
      <c r="Z18" s="1420"/>
      <c r="AA18" s="1420"/>
      <c r="AB18" s="1418"/>
      <c r="AC18" s="1419"/>
      <c r="AD18" s="1419"/>
      <c r="AE18" s="1419"/>
      <c r="AF18" s="1419"/>
      <c r="AG18" s="1419"/>
      <c r="AH18" s="1419"/>
      <c r="AI18" s="1419"/>
      <c r="AJ18" s="1419"/>
      <c r="AK18" s="1419"/>
      <c r="AL18" s="1419"/>
      <c r="AM18" s="1419"/>
      <c r="AN18" s="1419"/>
      <c r="AO18" s="1419"/>
      <c r="AP18" s="1419"/>
      <c r="AQ18" s="1419"/>
      <c r="AR18" s="1419"/>
      <c r="AS18" s="1419"/>
      <c r="AT18" s="1419"/>
      <c r="AU18" s="1419"/>
      <c r="AV18" s="1419"/>
      <c r="AW18" s="1419"/>
      <c r="AX18" s="1419"/>
      <c r="AY18" s="1419"/>
      <c r="AZ18" s="1419"/>
      <c r="BA18" s="1419"/>
      <c r="BB18" s="1419"/>
      <c r="BC18" s="1419"/>
      <c r="BD18" s="1419"/>
      <c r="BE18" s="1419"/>
      <c r="BF18" s="1419"/>
      <c r="BG18" s="1419"/>
      <c r="BH18" s="1419"/>
      <c r="BI18" s="1419"/>
      <c r="BJ18" s="1419"/>
      <c r="BK18" s="1419"/>
      <c r="BL18" s="1419"/>
      <c r="BM18" s="1419"/>
      <c r="BN18" s="1419"/>
      <c r="BO18" s="1419"/>
      <c r="BP18" s="1419"/>
      <c r="BQ18" s="1419"/>
      <c r="BR18" s="1419"/>
      <c r="BS18" s="1419"/>
      <c r="BT18" s="1421"/>
      <c r="BU18" s="1421"/>
      <c r="BV18" s="1421"/>
      <c r="BW18" s="1421"/>
      <c r="BX18" s="1421"/>
      <c r="BY18" s="1421"/>
      <c r="BZ18" s="1421"/>
      <c r="CA18" s="1421"/>
      <c r="CB18" s="1421"/>
      <c r="CC18" s="1421"/>
      <c r="CD18" s="1421"/>
      <c r="CE18" s="1421"/>
      <c r="CF18" s="1421"/>
      <c r="CG18" s="1421"/>
      <c r="CH18" s="1421"/>
      <c r="CI18" s="1421"/>
      <c r="CJ18" s="1421"/>
      <c r="CK18" s="1421"/>
      <c r="CL18" s="1419"/>
      <c r="CM18" s="1419"/>
      <c r="CN18" s="1419"/>
      <c r="CO18" s="1419"/>
      <c r="CP18" s="1419"/>
      <c r="CQ18" s="1419"/>
      <c r="CR18" s="1419"/>
      <c r="CS18" s="1419"/>
      <c r="CT18" s="1419"/>
      <c r="CU18" s="1419"/>
      <c r="CV18" s="1419"/>
      <c r="CW18" s="1419"/>
      <c r="CX18" s="1419"/>
      <c r="CY18" s="1421"/>
      <c r="CZ18" s="1421"/>
      <c r="DA18" s="1421"/>
      <c r="DB18" s="1421"/>
      <c r="DC18" s="1421"/>
      <c r="DD18" s="1421"/>
      <c r="DE18" s="1421"/>
      <c r="DF18" s="1421"/>
      <c r="DG18" s="1421"/>
      <c r="DH18" s="1421"/>
      <c r="DI18" s="1421"/>
      <c r="DJ18" s="1421"/>
      <c r="DK18" s="1419"/>
      <c r="DL18" s="1419"/>
      <c r="DM18" s="1419"/>
      <c r="DN18" s="1419"/>
      <c r="DO18" s="1419"/>
      <c r="DP18" s="1419"/>
      <c r="DQ18" s="1419"/>
      <c r="DR18" s="1419"/>
      <c r="DS18" s="1419"/>
      <c r="DT18" s="1419"/>
      <c r="DU18" s="1419"/>
      <c r="DV18" s="1419"/>
      <c r="DW18" s="1419"/>
      <c r="DX18" s="1419"/>
      <c r="DY18" s="1419"/>
      <c r="DZ18" s="1419"/>
      <c r="EA18" s="1419"/>
      <c r="EB18" s="1419"/>
      <c r="EC18" s="1419"/>
      <c r="ED18" s="1419"/>
      <c r="EE18" s="1419"/>
      <c r="EF18" s="1419"/>
      <c r="EG18" s="1419"/>
      <c r="EH18" s="1419"/>
      <c r="EI18" s="1419"/>
      <c r="EJ18" s="1419"/>
      <c r="EK18" s="1419"/>
      <c r="EL18" s="1419"/>
      <c r="EM18" s="1419"/>
      <c r="EN18" s="1419"/>
      <c r="EO18" s="1419"/>
      <c r="EP18" s="1419"/>
      <c r="EQ18" s="1419"/>
      <c r="ER18" s="1419"/>
      <c r="ES18" s="1419"/>
      <c r="ET18" s="1419"/>
      <c r="EU18" s="1419"/>
      <c r="EV18" s="1419"/>
      <c r="EW18" s="1419"/>
      <c r="EX18" s="1419"/>
      <c r="EY18" s="1419"/>
      <c r="EZ18" s="1419"/>
      <c r="FA18" s="1419"/>
      <c r="FB18" s="1419"/>
      <c r="FC18" s="1419"/>
      <c r="FD18" s="1419"/>
      <c r="FE18" s="1419"/>
      <c r="FF18" s="1419"/>
      <c r="FG18" s="1419"/>
      <c r="FH18" s="1419"/>
      <c r="FI18" s="1419"/>
      <c r="FJ18" s="1419"/>
      <c r="FK18" s="1419"/>
      <c r="FL18" s="1419"/>
      <c r="FM18" s="1419"/>
      <c r="FN18" s="1419"/>
      <c r="FO18" s="1419"/>
      <c r="FP18" s="1419"/>
      <c r="FQ18" s="1419"/>
      <c r="FR18" s="1419"/>
      <c r="FS18" s="1419"/>
      <c r="FT18" s="1419"/>
      <c r="FU18" s="1419"/>
      <c r="FV18" s="1419"/>
      <c r="FW18" s="1418"/>
      <c r="FX18" s="1422"/>
    </row>
    <row s="22186" customFormat="1" customHeight="1" ht="11.25" hidden="1">
      <c r="B19" s="1145"/>
      <c r="E19" s="1161"/>
      <c r="F19" s="1418"/>
      <c r="G19" s="1418"/>
      <c r="H19" s="1418"/>
      <c r="I19" s="1418"/>
      <c r="J19" s="1418"/>
      <c r="K19" s="1418"/>
      <c r="L19" s="1418"/>
      <c r="M19" s="1418"/>
      <c r="N19" s="1418"/>
      <c r="O19" s="1418"/>
      <c r="P19" s="1418"/>
      <c r="Q19" s="1418"/>
      <c r="R19" s="1418"/>
      <c r="S19" s="1418"/>
      <c r="T19" s="1418"/>
      <c r="U19" s="1420"/>
      <c r="V19" s="1420"/>
      <c r="W19" s="1420"/>
      <c r="X19" s="1420"/>
      <c r="Y19" s="1420"/>
      <c r="Z19" s="1420"/>
      <c r="AA19" s="1420"/>
      <c r="AB19" s="1418"/>
      <c r="AC19" s="1418"/>
      <c r="AD19" s="1418"/>
      <c r="AE19" s="1418"/>
      <c r="AF19" s="1418"/>
      <c r="AG19" s="1418"/>
      <c r="AH19" s="1418"/>
      <c r="AI19" s="1418"/>
      <c r="AJ19" s="1418"/>
      <c r="AK19" s="1418"/>
      <c r="AL19" s="1418"/>
      <c r="AM19" s="1418"/>
      <c r="AN19" s="1418"/>
      <c r="AO19" s="1418"/>
      <c r="AP19" s="1418"/>
      <c r="AQ19" s="1418"/>
      <c r="AR19" s="1418"/>
      <c r="AS19" s="1418"/>
      <c r="AT19" s="1418"/>
      <c r="AU19" s="1418"/>
      <c r="AV19" s="1418"/>
      <c r="AW19" s="1418"/>
      <c r="AX19" s="1418"/>
      <c r="AY19" s="1418"/>
      <c r="AZ19" s="1418"/>
      <c r="BA19" s="1418"/>
      <c r="BB19" s="1418"/>
      <c r="BC19" s="1418"/>
      <c r="BD19" s="1418"/>
      <c r="BE19" s="1418"/>
      <c r="BF19" s="1418"/>
      <c r="BG19" s="1418"/>
      <c r="BH19" s="1418"/>
      <c r="BI19" s="1418"/>
      <c r="BJ19" s="1418"/>
      <c r="BK19" s="1418"/>
      <c r="BL19" s="1418"/>
      <c r="BM19" s="1418"/>
      <c r="BN19" s="1418"/>
      <c r="BO19" s="1418"/>
      <c r="BP19" s="1418"/>
      <c r="BQ19" s="1418"/>
      <c r="BR19" s="1418"/>
      <c r="BS19" s="1418"/>
      <c r="BT19" s="1418"/>
      <c r="BU19" s="1418"/>
      <c r="BV19" s="1418"/>
      <c r="BW19" s="1418"/>
      <c r="BX19" s="1418"/>
      <c r="BY19" s="1418"/>
      <c r="BZ19" s="1418"/>
      <c r="CA19" s="1418"/>
      <c r="CB19" s="1418"/>
      <c r="CC19" s="1418"/>
      <c r="CD19" s="1418"/>
      <c r="CE19" s="1418"/>
      <c r="CF19" s="1418"/>
      <c r="CG19" s="1418"/>
      <c r="CH19" s="1418"/>
      <c r="CI19" s="1418"/>
      <c r="CJ19" s="1418"/>
      <c r="CK19" s="1418"/>
      <c r="CL19" s="1418"/>
      <c r="CM19" s="1418"/>
      <c r="CN19" s="1418"/>
      <c r="CO19" s="1418"/>
      <c r="CP19" s="1418"/>
      <c r="CQ19" s="1418"/>
      <c r="CR19" s="1418"/>
      <c r="CS19" s="1418"/>
      <c r="CT19" s="1418"/>
      <c r="CU19" s="1418"/>
      <c r="CV19" s="1418"/>
      <c r="CW19" s="1418"/>
      <c r="CX19" s="1418"/>
      <c r="CY19" s="1418"/>
      <c r="CZ19" s="1418"/>
      <c r="DA19" s="1418"/>
      <c r="DB19" s="1418"/>
      <c r="DC19" s="1418"/>
      <c r="DD19" s="1418"/>
      <c r="DE19" s="1418"/>
      <c r="DF19" s="1418"/>
      <c r="DG19" s="1418"/>
      <c r="DH19" s="1418"/>
      <c r="DI19" s="1418"/>
      <c r="DJ19" s="1418"/>
      <c r="DK19" s="1418"/>
      <c r="DL19" s="1418"/>
      <c r="DM19" s="1418"/>
      <c r="DN19" s="1418"/>
      <c r="DO19" s="1418"/>
      <c r="DP19" s="1418"/>
      <c r="DQ19" s="1418"/>
      <c r="DR19" s="1418"/>
      <c r="DS19" s="1418"/>
      <c r="DT19" s="1418"/>
      <c r="DU19" s="1418"/>
      <c r="DV19" s="1418"/>
      <c r="DW19" s="1418"/>
      <c r="DX19" s="1418"/>
      <c r="DY19" s="1418"/>
      <c r="DZ19" s="1418"/>
      <c r="EA19" s="1418"/>
      <c r="EB19" s="1418"/>
      <c r="EC19" s="1418"/>
      <c r="ED19" s="1418"/>
      <c r="EE19" s="1418"/>
      <c r="EF19" s="1418"/>
      <c r="EG19" s="1418"/>
      <c r="EH19" s="1418"/>
      <c r="EI19" s="1418"/>
      <c r="EJ19" s="1418"/>
      <c r="EK19" s="1418"/>
      <c r="EL19" s="1418"/>
      <c r="EM19" s="1418"/>
      <c r="EN19" s="1418"/>
      <c r="EO19" s="1418"/>
      <c r="EP19" s="1418"/>
      <c r="EQ19" s="1418"/>
      <c r="ER19" s="1418"/>
      <c r="ES19" s="1418"/>
      <c r="ET19" s="1418"/>
      <c r="EU19" s="1418"/>
      <c r="EV19" s="1418"/>
      <c r="EW19" s="1418"/>
      <c r="EX19" s="1418"/>
      <c r="EY19" s="1418"/>
      <c r="EZ19" s="1418"/>
      <c r="FA19" s="1418"/>
      <c r="FB19" s="1418"/>
      <c r="FC19" s="1418"/>
      <c r="FD19" s="1418"/>
      <c r="FE19" s="1418"/>
      <c r="FF19" s="1418"/>
      <c r="FG19" s="1418"/>
      <c r="FH19" s="1418"/>
      <c r="FI19" s="1418"/>
      <c r="FJ19" s="1418"/>
      <c r="FK19" s="1418"/>
      <c r="FL19" s="1418"/>
      <c r="FM19" s="1418"/>
      <c r="FN19" s="1418"/>
      <c r="FO19" s="1418"/>
      <c r="FP19" s="1418"/>
      <c r="FQ19" s="1418"/>
      <c r="FR19" s="1418"/>
      <c r="FS19" s="1418"/>
      <c r="FT19" s="1418"/>
      <c r="FU19" s="1418"/>
      <c r="FV19" s="1418"/>
      <c r="FW19" s="1418"/>
      <c r="FX19" s="1422"/>
    </row>
    <row s="22132" customFormat="1" customHeight="1" ht="11.25" hidden="1">
      <c r="B20" s="1162"/>
      <c r="D20" s="1146"/>
      <c r="E20" s="1161"/>
      <c r="F20" s="1423" t="s">
        <v>482</v>
      </c>
      <c r="G20" s="1424"/>
      <c r="H20" s="1425"/>
      <c r="I20" s="1425"/>
      <c r="J20" s="1425"/>
      <c r="K20" s="1425"/>
      <c r="L20" s="1425"/>
      <c r="M20" s="1425"/>
      <c r="N20" s="1425"/>
      <c r="O20" s="1424"/>
      <c r="P20" s="1424"/>
      <c r="Q20" s="1424"/>
      <c r="R20" s="1424"/>
      <c r="S20" s="1424"/>
      <c r="T20" s="1424"/>
      <c r="U20" s="1426"/>
      <c r="V20" s="1426"/>
      <c r="W20" s="1426"/>
      <c r="X20" s="1426"/>
      <c r="Y20" s="1426"/>
      <c r="Z20" s="1426"/>
      <c r="AA20" s="1426"/>
      <c r="AB20" s="1424"/>
      <c r="AC20" s="1425"/>
      <c r="AD20" s="1425"/>
      <c r="AE20" s="1425"/>
      <c r="AF20" s="1425"/>
      <c r="AG20" s="1425"/>
      <c r="AH20" s="1425"/>
      <c r="AI20" s="1425"/>
      <c r="AJ20" s="1425"/>
      <c r="AK20" s="1425"/>
      <c r="AL20" s="1425"/>
      <c r="AM20" s="1425"/>
      <c r="AN20" s="1425"/>
      <c r="AO20" s="1425"/>
      <c r="AP20" s="1425"/>
      <c r="AQ20" s="1425"/>
      <c r="AR20" s="1425"/>
      <c r="AS20" s="1425"/>
      <c r="AT20" s="1425"/>
      <c r="AU20" s="1425"/>
      <c r="AV20" s="1425"/>
      <c r="AW20" s="1425"/>
      <c r="AX20" s="1425"/>
      <c r="AY20" s="1425"/>
      <c r="AZ20" s="1425"/>
      <c r="BA20" s="1425"/>
      <c r="BB20" s="1425"/>
      <c r="BC20" s="1425"/>
      <c r="BD20" s="1425"/>
      <c r="BE20" s="1425"/>
      <c r="BF20" s="1425"/>
      <c r="BG20" s="1425"/>
      <c r="BH20" s="1425"/>
      <c r="BI20" s="1425"/>
      <c r="BJ20" s="1425"/>
      <c r="BK20" s="1425"/>
      <c r="BL20" s="1425"/>
      <c r="BM20" s="1425"/>
      <c r="BN20" s="1425"/>
      <c r="BO20" s="1425"/>
      <c r="BP20" s="1425"/>
      <c r="BQ20" s="1425"/>
      <c r="BR20" s="1425"/>
      <c r="BS20" s="1425"/>
      <c r="BT20" s="1425"/>
      <c r="BU20" s="1425"/>
      <c r="BV20" s="1425"/>
      <c r="BW20" s="1425"/>
      <c r="BX20" s="1425"/>
      <c r="BY20" s="1425"/>
      <c r="BZ20" s="1425"/>
      <c r="CA20" s="1425"/>
      <c r="CB20" s="1425"/>
      <c r="CC20" s="1425"/>
      <c r="CD20" s="1425"/>
      <c r="CE20" s="1425"/>
      <c r="CF20" s="1425"/>
      <c r="CG20" s="1425"/>
      <c r="CH20" s="1425"/>
      <c r="CI20" s="1425"/>
      <c r="CJ20" s="1425"/>
      <c r="CK20" s="1425"/>
      <c r="CL20" s="1427"/>
      <c r="CM20" s="1427"/>
      <c r="CN20" s="1427"/>
      <c r="CO20" s="1427"/>
      <c r="CP20" s="1427"/>
      <c r="CQ20" s="1427"/>
      <c r="CR20" s="1427"/>
      <c r="CS20" s="1427"/>
      <c r="CT20" s="1427"/>
      <c r="CU20" s="1427"/>
      <c r="CV20" s="1427"/>
      <c r="CW20" s="1427"/>
      <c r="CX20" s="1427"/>
      <c r="CY20" s="1427"/>
      <c r="CZ20" s="1427"/>
      <c r="DA20" s="1427"/>
      <c r="DB20" s="1427"/>
      <c r="DC20" s="1427"/>
      <c r="DD20" s="1427"/>
      <c r="DE20" s="1427"/>
      <c r="DF20" s="1427"/>
      <c r="DG20" s="1427"/>
      <c r="DH20" s="1427"/>
      <c r="DI20" s="1427"/>
      <c r="DJ20" s="1427"/>
      <c r="DK20" s="1427"/>
      <c r="DL20" s="1427"/>
      <c r="DM20" s="1427"/>
      <c r="DN20" s="1427"/>
      <c r="DO20" s="1427"/>
      <c r="DP20" s="1427"/>
      <c r="DQ20" s="1427"/>
      <c r="DR20" s="1427"/>
      <c r="DS20" s="1427"/>
      <c r="DT20" s="1427"/>
      <c r="DU20" s="1427"/>
      <c r="DV20" s="1427"/>
      <c r="DW20" s="1427"/>
      <c r="DX20" s="1427"/>
      <c r="DY20" s="1427"/>
      <c r="DZ20" s="1427"/>
      <c r="EA20" s="1427"/>
      <c r="EB20" s="1427"/>
      <c r="EC20" s="1427"/>
      <c r="ED20" s="1427"/>
      <c r="EE20" s="1427"/>
      <c r="EF20" s="1427"/>
      <c r="EG20" s="1427"/>
      <c r="EH20" s="1427"/>
      <c r="EI20" s="1427"/>
      <c r="EJ20" s="1427"/>
      <c r="EK20" s="1427"/>
      <c r="EL20" s="1427"/>
      <c r="EM20" s="1427"/>
      <c r="EN20" s="1427"/>
      <c r="EO20" s="1427"/>
      <c r="EP20" s="1427"/>
      <c r="EQ20" s="1427"/>
      <c r="ER20" s="1427"/>
      <c r="ES20" s="1427"/>
      <c r="ET20" s="1427"/>
      <c r="EU20" s="1427"/>
      <c r="EV20" s="1427"/>
      <c r="EW20" s="1427"/>
      <c r="EX20" s="1427"/>
      <c r="EY20" s="1427"/>
      <c r="EZ20" s="1427"/>
      <c r="FA20" s="1427"/>
      <c r="FB20" s="1427"/>
      <c r="FC20" s="1427"/>
      <c r="FD20" s="1427"/>
      <c r="FE20" s="1427"/>
      <c r="FF20" s="1427"/>
      <c r="FG20" s="1427"/>
      <c r="FH20" s="1427"/>
      <c r="FI20" s="1427"/>
      <c r="FJ20" s="1427"/>
      <c r="FK20" s="1427"/>
      <c r="FL20" s="1427"/>
      <c r="FM20" s="1427"/>
      <c r="FN20" s="1427"/>
      <c r="FO20" s="1427"/>
      <c r="FP20" s="1427"/>
      <c r="FQ20" s="1427"/>
      <c r="FR20" s="1427"/>
      <c r="FS20" s="1427"/>
      <c r="FT20" s="1427"/>
      <c r="FU20" s="1427"/>
      <c r="FV20" s="1427"/>
      <c r="FW20" s="1427"/>
      <c r="FX20" s="1428"/>
    </row>
    <row s="22132" customFormat="1" customHeight="1" ht="12">
      <c r="A21" s="1163"/>
      <c r="B21" s="1163"/>
      <c r="C21" s="1163"/>
      <c r="D21" s="1163"/>
      <c r="E21" s="1163"/>
      <c r="F21" s="1161"/>
      <c r="G21" s="1161"/>
      <c r="H21" s="1161"/>
      <c r="I21" s="1161"/>
      <c r="J21" s="1161"/>
      <c r="K21" s="1161"/>
      <c r="L21" s="1161"/>
      <c r="M21" s="1161"/>
      <c r="N21" s="1161"/>
      <c r="O21" s="1161"/>
      <c r="P21" s="1161"/>
      <c r="Q21" s="1161"/>
      <c r="R21" s="1161"/>
      <c r="S21" s="1164"/>
      <c r="T21" s="1164"/>
      <c r="U21" s="1161"/>
      <c r="V21" s="1161"/>
      <c r="W21" s="1161"/>
      <c r="X21" s="1161"/>
      <c r="Y21" s="1161"/>
      <c r="Z21" s="1161"/>
      <c r="AA21" s="1161"/>
      <c r="AB21" s="1161"/>
      <c r="AC21" s="1161"/>
      <c r="AD21" s="1161"/>
      <c r="AE21" s="1161"/>
      <c r="AF21" s="1161"/>
      <c r="AG21" s="1161"/>
      <c r="AH21" s="1161"/>
      <c r="AI21" s="1161"/>
      <c r="AJ21" s="1161"/>
      <c r="AK21" s="1161"/>
      <c r="AL21" s="1161"/>
      <c r="AM21" s="1161"/>
      <c r="AN21" s="1161"/>
      <c r="AO21" s="1161"/>
      <c r="AP21" s="1161"/>
      <c r="AQ21" s="1161"/>
      <c r="AR21" s="1161"/>
      <c r="AS21" s="1161"/>
      <c r="AT21" s="1161"/>
      <c r="AU21" s="1161"/>
      <c r="AV21" s="1161"/>
      <c r="AW21" s="1161"/>
      <c r="AX21" s="1161"/>
      <c r="AY21" s="1161"/>
      <c r="AZ21" s="1161"/>
      <c r="BA21" s="1161"/>
      <c r="BB21" s="1161"/>
      <c r="BC21" s="1161"/>
      <c r="BD21" s="1161"/>
      <c r="BE21" s="1161"/>
      <c r="BF21" s="1161"/>
      <c r="BG21" s="1161"/>
      <c r="BH21" s="1161"/>
      <c r="BI21" s="1161"/>
      <c r="BJ21" s="1161"/>
      <c r="BK21" s="1161"/>
      <c r="BL21" s="1161"/>
      <c r="BM21" s="1161"/>
      <c r="BN21" s="1161"/>
      <c r="BO21" s="1161"/>
      <c r="BP21" s="1161"/>
      <c r="BQ21" s="1161"/>
      <c r="BR21" s="1161"/>
      <c r="BS21" s="1161"/>
      <c r="BT21" s="1161"/>
      <c r="BU21" s="1161"/>
      <c r="BV21" s="1161"/>
      <c r="BW21" s="1161"/>
      <c r="BX21" s="1161"/>
      <c r="BY21" s="1161"/>
      <c r="BZ21" s="1161"/>
      <c r="CA21" s="1161"/>
      <c r="CB21" s="1161"/>
      <c r="CC21" s="1161"/>
      <c r="CD21" s="1161"/>
      <c r="CE21" s="1161"/>
      <c r="CF21" s="1161"/>
      <c r="CG21" s="1161"/>
      <c r="CH21" s="1161"/>
      <c r="CI21" s="1161"/>
      <c r="CJ21" s="1161"/>
      <c r="CK21" s="1161"/>
      <c r="CL21" s="1161"/>
      <c r="CM21" s="1161"/>
      <c r="CN21" s="1161"/>
      <c r="CO21" s="1161"/>
      <c r="CP21" s="1161"/>
      <c r="CQ21" s="1161"/>
      <c r="CR21" s="1161"/>
      <c r="CS21" s="1161"/>
      <c r="CT21" s="1161"/>
      <c r="CU21" s="1161"/>
      <c r="CV21" s="1161"/>
      <c r="CW21" s="1161"/>
      <c r="CX21" s="1161"/>
      <c r="CY21" s="1161"/>
      <c r="CZ21" s="1161"/>
      <c r="DA21" s="1161"/>
      <c r="DB21" s="1161"/>
      <c r="DC21" s="1161"/>
      <c r="DD21" s="1161"/>
      <c r="DE21" s="1161"/>
      <c r="DF21" s="1161"/>
      <c r="DG21" s="1161"/>
      <c r="DH21" s="1161"/>
      <c r="DI21" s="1161"/>
      <c r="DJ21" s="1161"/>
      <c r="DK21" s="1161"/>
      <c r="DL21" s="1161"/>
      <c r="DM21" s="1161"/>
      <c r="DN21" s="1161"/>
      <c r="DO21" s="1161"/>
      <c r="DP21" s="1161"/>
      <c r="DQ21" s="1161"/>
      <c r="DR21" s="1161"/>
      <c r="DS21" s="1161"/>
      <c r="DT21" s="1161"/>
      <c r="DU21" s="1161"/>
      <c r="DV21" s="1161"/>
      <c r="DW21" s="1161"/>
      <c r="DX21" s="1161"/>
      <c r="DY21" s="1161"/>
      <c r="DZ21" s="1161"/>
      <c r="EA21" s="1161"/>
      <c r="EB21" s="1161"/>
      <c r="EC21" s="1161"/>
      <c r="ED21" s="1161"/>
      <c r="EE21" s="1161"/>
      <c r="EF21" s="1161"/>
      <c r="EG21" s="1161"/>
      <c r="EH21" s="1161"/>
      <c r="EI21" s="1161"/>
      <c r="EJ21" s="1161"/>
      <c r="EK21" s="1161"/>
      <c r="EL21" s="1161"/>
      <c r="EM21" s="1161"/>
      <c r="EN21" s="1161"/>
      <c r="EO21" s="1161"/>
      <c r="EP21" s="1161"/>
      <c r="EQ21" s="1161"/>
      <c r="ER21" s="1161"/>
      <c r="ES21" s="1161"/>
      <c r="ET21" s="1161"/>
      <c r="EU21" s="1161"/>
      <c r="EV21" s="1161"/>
      <c r="EW21" s="1161"/>
      <c r="EX21" s="1161"/>
      <c r="EY21" s="1161"/>
      <c r="EZ21" s="1161"/>
      <c r="FA21" s="1161"/>
      <c r="FB21" s="1161"/>
      <c r="FC21" s="1161"/>
      <c r="FD21" s="1161"/>
      <c r="FE21" s="1161"/>
      <c r="FF21" s="1161"/>
      <c r="FG21" s="1161"/>
      <c r="FH21" s="1161"/>
      <c r="FI21" s="1161"/>
      <c r="FJ21" s="1161"/>
      <c r="FK21" s="1161"/>
      <c r="FL21" s="1161"/>
      <c r="FM21" s="1161"/>
      <c r="FN21" s="1161"/>
      <c r="FO21" s="1161"/>
      <c r="FP21" s="1161"/>
      <c r="FQ21" s="1161"/>
      <c r="FR21" s="1161"/>
      <c r="FS21" s="1161"/>
      <c r="FT21" s="1161"/>
      <c r="FU21" s="1161"/>
      <c r="FV21" s="1161"/>
      <c r="FW21" s="1161"/>
      <c r="FX21" s="1163"/>
      <c r="FY21" s="1163"/>
      <c r="FZ21" s="1163"/>
      <c r="GA21" s="1163"/>
      <c r="GB21" s="1163"/>
    </row>
    <row s="22132" customFormat="1" customHeight="1" ht="12">
      <c r="A22" s="1163"/>
      <c r="B22" s="1163"/>
      <c r="C22" s="1163"/>
      <c r="D22" s="1163"/>
      <c r="E22" s="1163"/>
      <c r="FX22" s="1163"/>
      <c r="FY22" s="1163"/>
      <c r="FZ22" s="1163"/>
      <c r="GA22" s="1163"/>
      <c r="GB22" s="1163"/>
    </row>
    <row s="22202" customFormat="1" customHeight="1" ht="12">
      <c r="A23" s="1285"/>
      <c r="B23" s="1285"/>
      <c r="C23" s="1285"/>
      <c r="D23" s="1285"/>
      <c r="E23" s="1285"/>
      <c r="O23" s="1287"/>
      <c r="P23" s="1287"/>
      <c r="Q23" s="1287"/>
      <c r="R23" s="1287"/>
      <c r="S23" s="1287"/>
      <c r="T23" s="1287"/>
      <c r="U23" s="1287"/>
      <c r="V23" s="1287"/>
      <c r="W23" s="1287"/>
      <c r="X23" s="1287"/>
      <c r="Y23" s="1287"/>
      <c r="Z23" s="1287"/>
      <c r="AA23" s="1287"/>
      <c r="AB23" s="1287"/>
      <c r="AC23" s="1287"/>
      <c r="AD23" s="1287"/>
      <c r="AE23" s="1287"/>
      <c r="AF23" s="1287"/>
      <c r="AG23" s="1287"/>
      <c r="AH23" s="1287"/>
      <c r="AI23" s="1287"/>
      <c r="AJ23" s="1287"/>
      <c r="AK23" s="1287"/>
      <c r="AL23" s="1287"/>
      <c r="AM23" s="1287"/>
      <c r="AN23" s="1287"/>
      <c r="AO23" s="1287"/>
      <c r="AP23" s="1287"/>
      <c r="AQ23" s="1287"/>
      <c r="AR23" s="1287"/>
      <c r="AS23" s="1287"/>
      <c r="AT23" s="1287"/>
      <c r="AU23" s="1287"/>
      <c r="AV23" s="1287"/>
      <c r="AW23" s="1287"/>
      <c r="AX23" s="1287"/>
      <c r="AY23" s="1287"/>
      <c r="AZ23" s="1287"/>
      <c r="BA23" s="1287"/>
      <c r="BB23" s="1287"/>
      <c r="BC23" s="1287"/>
      <c r="BD23" s="1287"/>
      <c r="BE23" s="1287"/>
      <c r="BF23" s="1287"/>
      <c r="BG23" s="1287"/>
      <c r="BH23" s="1287"/>
      <c r="BI23" s="1287"/>
      <c r="BJ23" s="1287"/>
      <c r="BK23" s="1287"/>
      <c r="BL23" s="1287"/>
      <c r="BM23" s="1287"/>
      <c r="BN23" s="1287"/>
      <c r="BO23" s="1287"/>
      <c r="BP23" s="1287"/>
      <c r="BQ23" s="1287"/>
      <c r="BR23" s="1287"/>
      <c r="BS23" s="1287"/>
      <c r="BT23" s="1288"/>
      <c r="BU23" s="1288"/>
      <c r="BV23" s="1288"/>
      <c r="BW23" s="1288"/>
      <c r="BX23" s="1288"/>
      <c r="BY23" s="1288"/>
      <c r="BZ23" s="1288"/>
      <c r="CA23" s="1288"/>
      <c r="CB23" s="1288"/>
      <c r="CC23" s="1288"/>
      <c r="CD23" s="1288"/>
      <c r="CE23" s="1288"/>
      <c r="CF23" s="1288"/>
      <c r="CG23" s="1288"/>
      <c r="CH23" s="1288"/>
      <c r="CI23" s="1288"/>
      <c r="CJ23" s="1288"/>
      <c r="CK23" s="1288"/>
      <c r="CL23" s="1288"/>
      <c r="CM23" s="1288"/>
      <c r="CN23" s="1288"/>
      <c r="CO23" s="1288"/>
      <c r="CP23" s="1288"/>
      <c r="CQ23" s="1288"/>
      <c r="CR23" s="1288"/>
      <c r="CS23" s="1288"/>
      <c r="CT23" s="1288"/>
      <c r="CU23" s="1288"/>
      <c r="CV23" s="1288"/>
      <c r="CW23" s="1288"/>
      <c r="CX23" s="1288"/>
      <c r="CY23" s="1288"/>
      <c r="CZ23" s="1288"/>
      <c r="DA23" s="1288"/>
      <c r="DB23" s="1288"/>
      <c r="DC23" s="1288"/>
      <c r="DD23" s="1288"/>
      <c r="DE23" s="1288"/>
      <c r="DF23" s="1288"/>
      <c r="DG23" s="1288"/>
      <c r="DH23" s="1288"/>
      <c r="DI23" s="1288"/>
      <c r="DJ23" s="1288"/>
      <c r="DK23" s="1288"/>
      <c r="DL23" s="1288"/>
      <c r="DM23" s="1288"/>
      <c r="DN23" s="1288"/>
      <c r="DO23" s="1288"/>
      <c r="DP23" s="1288"/>
      <c r="DQ23" s="1288"/>
      <c r="DR23" s="1288"/>
      <c r="DS23" s="1288"/>
      <c r="DT23" s="1288"/>
      <c r="DU23" s="1288"/>
      <c r="DV23" s="1288"/>
      <c r="DW23" s="1288"/>
      <c r="DX23" s="1288"/>
      <c r="FX23" s="1285"/>
      <c r="FY23" s="1285"/>
      <c r="FZ23" s="1285"/>
      <c r="GA23" s="1285"/>
      <c r="GB23" s="1285"/>
    </row>
    <row customHeight="1" ht="12">
      <c r="S24" s="1160"/>
      <c r="T24" s="1160"/>
      <c r="U24" s="1160"/>
      <c r="V24" s="1160"/>
      <c r="W24" s="1160"/>
      <c r="X24" s="1160"/>
      <c r="Y24" s="1160"/>
      <c r="Z24" s="1160"/>
      <c r="AA24" s="1160"/>
      <c r="AB24" s="1160"/>
      <c r="FX24" s="1160"/>
      <c r="FY24" s="1160"/>
      <c r="FZ24" s="1160"/>
      <c r="GA24" s="1160"/>
      <c r="GB24" s="1160"/>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6477FC-D78A-374B-F514-4029B2B6CA9A}"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16403" width="9.140625" hidden="1" customWidth="1"/>
    <col min="2" max="2" style="16406" width="9.140625" hidden="1" customWidth="1"/>
    <col min="3" max="3" style="22022" width="4.7109375" customWidth="1"/>
    <col min="4" max="4" style="16406" width="6.28125" customWidth="1"/>
    <col min="5" max="5" style="16406" width="36.7109375" customWidth="1"/>
    <col min="6" max="6" style="16406" width="9.57421875" customWidth="1"/>
    <col min="7" max="7" style="15861" width="42.421875" hidden="1" customWidth="1"/>
    <col min="8" max="8" style="16406" width="40.7109375" customWidth="1"/>
    <col min="9" max="9" style="15862" width="93.421875" customWidth="1"/>
    <col min="10" max="17" style="16406" width="10.57421875"/>
    <col min="18" max="18" style="22023" width="10.57421875"/>
  </cols>
  <sheetData>
    <row s="15862" customFormat="1" customHeight="1" ht="15" hidden="1">
      <c r="C1" s="894"/>
      <c r="H1" s="639">
        <v>4</v>
      </c>
      <c r="R1" s="642"/>
    </row>
    <row customHeight="1" ht="22.5" hidden="1">
      <c r="C2" s="2156" t="s">
        <v>100</v>
      </c>
      <c r="D2" s="761"/>
      <c r="E2" s="885"/>
      <c r="F2" s="1988" t="str">
        <f>IF(TEMPLATE_SPHERE="HEAT","Гкал/час","тыс. куб. м/сутки")</f>
        <v>тыс. куб. м/сутки</v>
      </c>
      <c r="G2" s="902"/>
      <c r="H2" s="902"/>
      <c r="I2" s="511"/>
    </row>
    <row s="15862" customFormat="1" customHeight="1" ht="15" hidden="1">
      <c r="C3" s="894"/>
      <c r="R3" s="642"/>
    </row>
    <row customHeight="1" ht="15">
      <c r="C4" s="399"/>
      <c r="D4" s="731"/>
      <c r="E4" s="731"/>
      <c r="F4" s="731"/>
      <c r="G4" s="731"/>
      <c r="H4" s="731"/>
    </row>
    <row customHeight="1" ht="37.5">
      <c r="C5" s="399"/>
      <c r="D5" s="236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366"/>
      <c r="F5" s="2366"/>
      <c r="G5" s="2366"/>
      <c r="H5" s="2366"/>
      <c r="I5" s="759"/>
    </row>
    <row customHeight="1" ht="15">
      <c r="C6" s="399"/>
      <c r="D6" s="2335" t="str">
        <f>IF(org=0,"Не определено",org)</f>
        <v>КГУП "Примтеплоэнерго"</v>
      </c>
      <c r="E6" s="2335"/>
      <c r="F6" s="2335"/>
      <c r="G6" s="2335"/>
      <c r="H6" s="2335"/>
      <c r="I6" s="759"/>
    </row>
    <row s="15861" customFormat="1" customHeight="1" ht="15">
      <c r="A7" s="981"/>
      <c r="C7" s="399"/>
      <c r="D7" s="898"/>
      <c r="E7" s="898"/>
      <c r="F7" s="898"/>
      <c r="G7" s="898"/>
      <c r="H7" s="974"/>
      <c r="I7" s="759"/>
      <c r="R7" s="897"/>
    </row>
    <row customHeight="1" ht="0.75">
      <c r="C8" s="399"/>
      <c r="D8" s="731"/>
      <c r="E8" s="731"/>
      <c r="F8" s="731"/>
      <c r="G8" s="731"/>
      <c r="H8" s="759" t="s">
        <v>173</v>
      </c>
    </row>
    <row customHeight="1" ht="15">
      <c r="C9" s="399"/>
      <c r="D9" s="933"/>
      <c r="E9" s="2497" t="s">
        <v>164</v>
      </c>
      <c r="F9" s="2498"/>
      <c r="G9" s="1038" t="str">
        <f>IF(G8="","",INDEX(DIFFERENTIATION_UNMERGE_VD,MATCH(G8,DIFFERENTIATION_ID_DIFF,0)))</f>
        <v/>
      </c>
      <c r="H9" s="1038">
        <f>IF(H8="","",INDEX(DIFFERENTIATION_UNMERGE_VD,MATCH(H8,DIFFERENTIATION_ID_DIFF,0)))</f>
        <v>0</v>
      </c>
      <c r="I9" s="2253" t="s">
        <v>407</v>
      </c>
    </row>
    <row s="15861" customFormat="1" customHeight="1" ht="15">
      <c r="A10" s="981"/>
      <c r="C10" s="399"/>
      <c r="D10" s="933"/>
      <c r="E10" s="2497" t="s">
        <v>670</v>
      </c>
      <c r="F10" s="2498"/>
      <c r="G10" s="1038" t="str">
        <f>IF(G8="","",INDEX(DIFFERENTIATION_UNMERGE_AREA,MATCH(G8,DIFFERENTIATION_ID_DIFF,0)))</f>
        <v/>
      </c>
      <c r="H10" s="1038" t="str">
        <f>IF(H8="","",INDEX(DIFFERENTIATION_UNMERGE_AREA,MATCH(H8,DIFFERENTIATION_ID_DIFF,0)))</f>
        <v/>
      </c>
      <c r="I10" s="2253"/>
      <c r="R10" s="897"/>
    </row>
    <row s="15861" customFormat="1" customHeight="1" ht="15">
      <c r="A11" s="981"/>
      <c r="C11" s="399"/>
      <c r="D11" s="933"/>
      <c r="E11" s="2497" t="s">
        <v>671</v>
      </c>
      <c r="F11" s="2498"/>
      <c r="G11" s="1038" t="str">
        <f>IF(G8="","",INDEX(DIFFERENTIATION_UNMERGE_SYSTEM,MATCH(G8,DIFFERENTIATION_ID_DIFF,0)))</f>
        <v/>
      </c>
      <c r="H11" s="1038" t="str">
        <f>IF(H8="","",INDEX(DIFFERENTIATION_UNMERGE_SYSTEM,MATCH(H8,DIFFERENTIATION_ID_DIFF,0)))</f>
        <v>без дифференциации</v>
      </c>
      <c r="I11" s="2253"/>
      <c r="R11" s="897"/>
    </row>
    <row s="15861" customFormat="1" customHeight="1" ht="15">
      <c r="A12" s="981"/>
      <c r="C12" s="399"/>
      <c r="D12" s="2499" t="s">
        <v>406</v>
      </c>
      <c r="E12" s="2500"/>
      <c r="F12" s="2500"/>
      <c r="G12" s="1109"/>
      <c r="H12" s="1109"/>
      <c r="I12" s="2253"/>
      <c r="R12" s="897"/>
    </row>
    <row customHeight="1" ht="33.75">
      <c r="C13" s="399"/>
      <c r="D13" s="983" t="s">
        <v>84</v>
      </c>
      <c r="E13" s="982" t="s">
        <v>408</v>
      </c>
      <c r="F13" s="982" t="s">
        <v>672</v>
      </c>
      <c r="G13" s="1030" t="s">
        <v>409</v>
      </c>
      <c r="H13" s="976" t="s">
        <v>409</v>
      </c>
      <c r="I13" s="2253"/>
    </row>
    <row customHeight="1" ht="15" hidden="1">
      <c r="C14" s="399"/>
      <c r="D14" s="815" t="s">
        <v>168</v>
      </c>
      <c r="E14" s="815" t="s">
        <v>99</v>
      </c>
      <c r="F14" s="815" t="s">
        <v>86</v>
      </c>
      <c r="G14" s="881" t="str">
        <f>G1&amp;".1"</f>
        <v>.1</v>
      </c>
      <c r="H14" s="881" t="str">
        <f>H1&amp;".1"</f>
        <v>4.1</v>
      </c>
      <c r="I14" s="511"/>
    </row>
    <row customHeight="1" ht="15">
      <c r="A15" s="727"/>
      <c r="C15" s="748"/>
      <c r="D15" s="743">
        <v>1</v>
      </c>
      <c r="E15" s="2158" t="str">
        <f>TP_P_A</f>
        <v>Количество поданных заявлений </v>
      </c>
      <c r="F15" s="743" t="s">
        <v>1138</v>
      </c>
      <c r="G15" s="907"/>
      <c r="H15" s="907"/>
      <c r="I15" s="43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727"/>
      <c r="C16" s="748"/>
      <c r="D16" s="743">
        <v>2</v>
      </c>
      <c r="E16" s="2158" t="str">
        <f>TP_P_B</f>
        <v>Количество исполненных заявлений </v>
      </c>
      <c r="F16" s="743" t="s">
        <v>1138</v>
      </c>
      <c r="G16" s="907"/>
      <c r="H16" s="907"/>
      <c r="I16" s="43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73.5">
      <c r="A17" s="727"/>
      <c r="C17" s="748"/>
      <c r="D17" s="743">
        <v>3</v>
      </c>
      <c r="E17" s="2158"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743" t="s">
        <v>1138</v>
      </c>
      <c r="G17" s="907"/>
      <c r="H17" s="907"/>
      <c r="I17" s="430"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52.5">
      <c r="A18" s="727"/>
      <c r="C18" s="748"/>
      <c r="D18" s="743">
        <v>4</v>
      </c>
      <c r="E18" s="2158" t="str">
        <f>TP_P_V_1</f>
        <v>Причины отказа в заключении договора о подключении (технологическом присоединении) к централизованной системе горячего водоснабжения</v>
      </c>
      <c r="F18" s="743" t="s">
        <v>412</v>
      </c>
      <c r="G18" s="908"/>
      <c r="H18" s="908"/>
      <c r="I18" s="106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727"/>
      <c r="C19" s="748"/>
      <c r="D19" s="743">
        <v>5</v>
      </c>
      <c r="E19" s="2158"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743" t="str">
        <f>IF(TEMPLATE_SPHERE="HEAT","Гкал/час","тыс. куб. м/сутки")</f>
        <v>тыс. куб. м/сутки</v>
      </c>
      <c r="G19" s="909">
        <f>SUM(G20:G22)</f>
        <v>0</v>
      </c>
      <c r="H19" s="909">
        <f>SUM(H20:H22)</f>
        <v>0</v>
      </c>
      <c r="I19" s="430"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731" t="s">
        <v>1139</v>
      </c>
      <c r="E20" s="910"/>
      <c r="F20" s="731"/>
      <c r="G20" s="731"/>
      <c r="H20" s="731"/>
      <c r="I20" s="1990"/>
    </row>
    <row customHeight="1" ht="27.75">
      <c r="C21" s="673"/>
      <c r="D21" s="761" t="s">
        <v>419</v>
      </c>
      <c r="E21" s="892"/>
      <c r="F21" s="1988" t="str">
        <f>IF(TEMPLATE_SPHERE="HEAT","Гкал/час","тыс. куб. м/сутки")</f>
        <v>тыс. куб. м/сутки</v>
      </c>
      <c r="G21" s="902"/>
      <c r="H21" s="902"/>
      <c r="I21" s="2297"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727"/>
      <c r="C22" s="727"/>
      <c r="D22" s="569"/>
      <c r="E22" s="802" t="s">
        <v>1140</v>
      </c>
      <c r="F22" s="794"/>
      <c r="G22" s="794"/>
      <c r="H22" s="794"/>
      <c r="I22" s="2299"/>
      <c r="R22" s="727"/>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AC3EB2-197D-3E1E-CA88-1FED4EC9D2BD}"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22271" width="9.140625" hidden="1" customWidth="1"/>
    <col min="2" max="2" style="22272" width="9.140625" hidden="1" customWidth="1"/>
    <col min="3" max="3" style="22273" width="3.7109375" customWidth="1"/>
    <col min="4" max="4" style="15864" width="6.28125" customWidth="1"/>
    <col min="5" max="6" style="15864" width="64.140625" customWidth="1"/>
    <col min="7" max="7" style="15864" width="141.140625" customWidth="1"/>
    <col min="8" max="8" style="15864" width="10.57421875"/>
    <col min="9" max="10" style="15865" width="10.57421875"/>
    <col min="11" max="16" style="15864" width="10.57421875"/>
  </cols>
  <sheetData>
    <row customHeight="1" ht="14.25" hidden="1">
      <c r="M1" s="477"/>
      <c r="N1" s="477"/>
      <c r="P1" s="477"/>
    </row>
    <row customHeight="1" ht="14.25" hidden="1"/>
    <row customHeight="1" ht="14.25" hidden="1"/>
    <row customHeight="1" ht="3">
      <c r="C4" s="319"/>
      <c r="D4" s="306"/>
      <c r="E4" s="306"/>
      <c r="F4" s="307"/>
      <c r="G4" s="307"/>
    </row>
    <row customHeight="1" ht="27.75">
      <c r="C5" s="319"/>
      <c r="D5" s="258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81"/>
      <c r="F5" s="2581"/>
      <c r="G5" s="2582"/>
    </row>
    <row s="15861" customFormat="1" customHeight="1" ht="18">
      <c r="A6" s="1104"/>
      <c r="B6" s="639"/>
      <c r="C6" s="598"/>
      <c r="D6" s="2583" t="str">
        <f>IF(org=0,"Не определено",org)</f>
        <v>КГУП "Примтеплоэнерго"</v>
      </c>
      <c r="E6" s="2584"/>
      <c r="F6" s="2584"/>
      <c r="G6" s="2585"/>
      <c r="I6" s="722"/>
      <c r="J6" s="722"/>
    </row>
    <row customHeight="1" ht="14.25">
      <c r="C7" s="319"/>
      <c r="D7" s="306"/>
      <c r="E7" s="318"/>
      <c r="F7" s="974"/>
      <c r="G7" s="415"/>
    </row>
    <row s="16676" customFormat="1" customHeight="1" ht="0.75">
      <c r="A8" s="1896"/>
      <c r="B8" s="1384"/>
      <c r="C8" s="598"/>
      <c r="D8" s="585"/>
      <c r="E8" s="611"/>
      <c r="F8" s="974"/>
      <c r="G8" s="415"/>
      <c r="I8" s="1851"/>
      <c r="J8" s="1851"/>
    </row>
    <row customHeight="1" ht="14.25">
      <c r="C9" s="319"/>
      <c r="D9" s="2343" t="s">
        <v>406</v>
      </c>
      <c r="E9" s="2343"/>
      <c r="F9" s="2343"/>
      <c r="G9" s="2586" t="s">
        <v>407</v>
      </c>
    </row>
    <row customHeight="1" ht="14.25">
      <c r="C10" s="319"/>
      <c r="D10" s="328" t="s">
        <v>84</v>
      </c>
      <c r="E10" s="331" t="s">
        <v>408</v>
      </c>
      <c r="F10" s="331" t="s">
        <v>496</v>
      </c>
      <c r="G10" s="2586"/>
    </row>
    <row customHeight="1" ht="12" hidden="1">
      <c r="C11" s="319"/>
      <c r="D11" s="309"/>
      <c r="E11" s="309"/>
      <c r="F11" s="309"/>
      <c r="G11" s="309"/>
    </row>
    <row customHeight="1" ht="62.25">
      <c r="A12" s="414"/>
      <c r="C12" s="319"/>
      <c r="D12" s="370">
        <v>1</v>
      </c>
      <c r="E12" s="41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420" t="s">
        <v>412</v>
      </c>
      <c r="G12" s="374"/>
    </row>
    <row customHeight="1" ht="22.5">
      <c r="A13" s="414"/>
      <c r="C13" s="319"/>
      <c r="D13" s="370" t="s">
        <v>1045</v>
      </c>
      <c r="E13" s="41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20" t="s">
        <v>412</v>
      </c>
      <c r="G13" s="374"/>
    </row>
    <row customHeight="1" ht="14.25">
      <c r="A14" s="414"/>
      <c r="C14" s="319"/>
      <c r="D14" s="370" t="s">
        <v>1081</v>
      </c>
      <c r="E14" s="417"/>
      <c r="F14" s="435"/>
      <c r="G14" s="22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414"/>
      <c r="C15" s="319"/>
      <c r="D15" s="332"/>
      <c r="E15" s="571" t="s">
        <v>1141</v>
      </c>
      <c r="F15" s="423"/>
      <c r="G15" s="2299"/>
    </row>
    <row customHeight="1" ht="14.25">
      <c r="A16" s="414"/>
      <c r="C16" s="319"/>
      <c r="D16" s="370" t="s">
        <v>1047</v>
      </c>
      <c r="E16" s="41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420" t="s">
        <v>412</v>
      </c>
      <c r="G16" s="559"/>
    </row>
    <row customHeight="1" ht="14.25">
      <c r="A17" s="414"/>
      <c r="C17" s="319"/>
      <c r="D17" s="370" t="s">
        <v>1089</v>
      </c>
      <c r="E17" s="417"/>
      <c r="F17" s="607"/>
      <c r="G17" s="22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22250" customFormat="1" customHeight="1" ht="21">
      <c r="A18" s="565"/>
      <c r="B18" s="369"/>
      <c r="C18" s="529"/>
      <c r="D18" s="569"/>
      <c r="E18" s="571" t="s">
        <v>1142</v>
      </c>
      <c r="F18" s="560"/>
      <c r="G18" s="2299"/>
      <c r="I18" s="572"/>
      <c r="J18" s="572"/>
    </row>
    <row s="15861" customFormat="1" customHeight="1" ht="256.5" hidden="1">
      <c r="A19" s="565"/>
      <c r="B19" s="639"/>
      <c r="C19" s="598"/>
      <c r="D19" s="1106" t="s">
        <v>1049</v>
      </c>
      <c r="E19" s="1105" t="s">
        <v>1143</v>
      </c>
      <c r="F19" s="607"/>
      <c r="G19" s="559" t="s">
        <v>1144</v>
      </c>
      <c r="I19" s="722"/>
      <c r="J19" s="722"/>
    </row>
    <row s="22250" customFormat="1" customHeight="1" ht="14.25">
      <c r="A20" s="565"/>
      <c r="B20" s="369"/>
      <c r="C20" s="529"/>
      <c r="D20" s="1107">
        <v>2</v>
      </c>
      <c r="E20" s="552" t="s">
        <v>1145</v>
      </c>
      <c r="F20" s="420" t="s">
        <v>412</v>
      </c>
      <c r="G20" s="559"/>
      <c r="I20" s="572"/>
      <c r="J20" s="572"/>
    </row>
    <row s="22250" customFormat="1" customHeight="1" ht="18.75" hidden="1">
      <c r="A21" s="565"/>
      <c r="B21" s="369"/>
      <c r="C21" s="529"/>
      <c r="D21" s="555" t="s">
        <v>975</v>
      </c>
      <c r="E21" s="554"/>
      <c r="F21" s="553"/>
      <c r="G21" s="563"/>
      <c r="H21" s="556"/>
      <c r="I21" s="572"/>
      <c r="J21" s="572"/>
    </row>
    <row customHeight="1" ht="15">
      <c r="A22" s="414"/>
      <c r="C22" s="319"/>
      <c r="D22" s="332"/>
      <c r="E22" s="425" t="s">
        <v>428</v>
      </c>
      <c r="F22" s="560"/>
      <c r="G22" s="561"/>
    </row>
    <row s="16676" customFormat="1" customHeight="1" ht="22.5" hidden="1">
      <c r="A23" s="565"/>
      <c r="B23" s="1384"/>
      <c r="C23" s="598"/>
      <c r="D23" s="1900" t="s">
        <v>99</v>
      </c>
      <c r="E23" s="419" t="s">
        <v>1146</v>
      </c>
      <c r="F23" s="1897" t="s">
        <v>412</v>
      </c>
      <c r="G23" s="567"/>
      <c r="I23" s="1851"/>
      <c r="J23" s="1851"/>
    </row>
    <row s="16676" customFormat="1" customHeight="1" ht="14.25" hidden="1">
      <c r="A24" s="565"/>
      <c r="B24" s="1384"/>
      <c r="C24" s="598"/>
      <c r="D24" s="1900" t="s">
        <v>728</v>
      </c>
      <c r="E24" s="1899" t="s">
        <v>1147</v>
      </c>
      <c r="F24" s="1897" t="s">
        <v>412</v>
      </c>
      <c r="G24" s="559"/>
      <c r="I24" s="1851"/>
      <c r="J24" s="1851"/>
    </row>
    <row s="16676" customFormat="1" customHeight="1" ht="14.25" hidden="1">
      <c r="A25" s="565"/>
      <c r="B25" s="1384"/>
      <c r="C25" s="598"/>
      <c r="D25" s="1900" t="s">
        <v>731</v>
      </c>
      <c r="E25" s="417"/>
      <c r="F25" s="607"/>
      <c r="G25" s="2297" t="s">
        <v>1148</v>
      </c>
      <c r="I25" s="1851"/>
      <c r="J25" s="1851"/>
    </row>
    <row s="16676" customFormat="1" customHeight="1" ht="22.5" hidden="1">
      <c r="A26" s="565"/>
      <c r="B26" s="1384"/>
      <c r="C26" s="598"/>
      <c r="D26" s="569"/>
      <c r="E26" s="571" t="s">
        <v>1149</v>
      </c>
      <c r="F26" s="560"/>
      <c r="G26" s="2299"/>
      <c r="I26" s="1851"/>
      <c r="J26" s="1851"/>
    </row>
    <row customHeight="1" ht="3"/>
    <row customHeight="1" ht="14.25">
      <c r="D28" s="558"/>
      <c r="E28" s="557"/>
      <c r="F28" s="537"/>
      <c r="G28" s="537"/>
      <c r="H28" s="537"/>
      <c r="I28" s="537"/>
      <c r="J28" s="537"/>
      <c r="K28" s="537"/>
      <c r="L28" s="537"/>
      <c r="M28" s="537"/>
      <c r="N28" s="537"/>
      <c r="O28" s="537"/>
      <c r="P28" s="537"/>
    </row>
    <row customHeight="1" ht="14.25">
      <c r="D29" s="558"/>
      <c r="E29" s="804"/>
    </row>
    <row r="31" customHeight="1" ht="14.25">
      <c r="E31" s="980"/>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DF74D3-BC31-411E-3483-3C6497234ED2}"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16631" width="9.140625" hidden="1" customWidth="1"/>
    <col min="2" max="2" style="22272" width="9.140625" hidden="1" customWidth="1"/>
    <col min="3" max="3" style="22273" width="3.7109375" customWidth="1"/>
    <col min="4" max="4" style="15864" width="6.28125" customWidth="1"/>
    <col min="5" max="5" style="15864" width="63.421875" customWidth="1"/>
    <col min="6" max="6" style="15864" width="1.7109375" hidden="1" customWidth="1"/>
    <col min="7" max="8" style="15864" width="35.7109375" customWidth="1"/>
    <col min="9" max="9" style="15864" width="91.57421875" customWidth="1"/>
    <col min="10" max="10" style="15864" width="68.8515625" customWidth="1"/>
    <col min="11" max="12" style="15865" width="10.57421875"/>
  </cols>
  <sheetData>
    <row customHeight="1" ht="14.25" hidden="1"/>
    <row s="16676" customFormat="1" customHeight="1" ht="18.75" hidden="1">
      <c r="A2" s="1910"/>
      <c r="B2" s="1384"/>
      <c r="C2" s="1957" t="s">
        <v>100</v>
      </c>
      <c r="D2" s="1900"/>
      <c r="E2" s="421"/>
      <c r="F2" s="1897"/>
      <c r="G2" s="1897" t="s">
        <v>412</v>
      </c>
      <c r="H2" s="1385"/>
      <c r="K2" s="1851"/>
      <c r="L2" s="1851"/>
    </row>
    <row s="16676" customFormat="1" customHeight="1" ht="14.25" hidden="1">
      <c r="A3" s="1589"/>
      <c r="B3" s="1384"/>
      <c r="C3" s="566"/>
      <c r="K3" s="1851"/>
      <c r="L3" s="1851"/>
    </row>
    <row s="16676" customFormat="1" customHeight="1" ht="18.75" hidden="1">
      <c r="A4" s="1910"/>
      <c r="B4" s="1384"/>
      <c r="C4" s="1957" t="s">
        <v>100</v>
      </c>
      <c r="D4" s="1900"/>
      <c r="E4" s="427" t="s">
        <v>1150</v>
      </c>
      <c r="F4" s="1897"/>
      <c r="G4" s="479"/>
      <c r="H4" s="1897" t="s">
        <v>412</v>
      </c>
      <c r="K4" s="1851"/>
      <c r="L4" s="1851"/>
    </row>
    <row s="16676" customFormat="1" customHeight="1" ht="14.25" hidden="1">
      <c r="A5" s="1589"/>
      <c r="B5" s="1384"/>
      <c r="C5" s="566"/>
      <c r="K5" s="1851"/>
      <c r="L5" s="1851"/>
    </row>
    <row s="16676" customFormat="1" customHeight="1" ht="18.75" hidden="1">
      <c r="A6" s="1910"/>
      <c r="B6" s="1384"/>
      <c r="C6" s="1957" t="s">
        <v>100</v>
      </c>
      <c r="D6" s="1900"/>
      <c r="E6" s="428" t="s">
        <v>1151</v>
      </c>
      <c r="F6" s="1897"/>
      <c r="G6" s="479"/>
      <c r="H6" s="1897" t="s">
        <v>412</v>
      </c>
      <c r="K6" s="1851"/>
      <c r="L6" s="1851"/>
    </row>
    <row s="16676" customFormat="1" customHeight="1" ht="14.25" hidden="1">
      <c r="A7" s="1589"/>
      <c r="B7" s="1384"/>
      <c r="C7" s="566"/>
      <c r="K7" s="1851"/>
      <c r="L7" s="1851"/>
    </row>
    <row s="16676" customFormat="1" customHeight="1" ht="18.75" hidden="1">
      <c r="A8" s="1910"/>
      <c r="B8" s="1384"/>
      <c r="C8" s="1957" t="s">
        <v>100</v>
      </c>
      <c r="D8" s="1900"/>
      <c r="E8" s="428" t="s">
        <v>1152</v>
      </c>
      <c r="F8" s="1897"/>
      <c r="G8" s="479"/>
      <c r="H8" s="1897" t="s">
        <v>412</v>
      </c>
      <c r="K8" s="1851"/>
      <c r="L8" s="1851"/>
    </row>
    <row s="16676" customFormat="1" customHeight="1" ht="14.25" hidden="1">
      <c r="A9" s="1589"/>
      <c r="B9" s="1384"/>
      <c r="C9" s="566"/>
      <c r="K9" s="1851"/>
      <c r="L9" s="1851"/>
    </row>
    <row s="16676" customFormat="1" customHeight="1" ht="18.75" hidden="1">
      <c r="A10" s="1910"/>
      <c r="B10" s="1384"/>
      <c r="C10" s="1957" t="s">
        <v>100</v>
      </c>
      <c r="D10" s="1900"/>
      <c r="E10" s="428" t="s">
        <v>1153</v>
      </c>
      <c r="F10" s="1897"/>
      <c r="G10" s="1901"/>
      <c r="H10" s="1897" t="s">
        <v>412</v>
      </c>
      <c r="K10" s="1851"/>
      <c r="L10" s="1851" t="s">
        <v>1154</v>
      </c>
    </row>
    <row customHeight="1" ht="14.25" hidden="1"/>
    <row customHeight="1" ht="14.25" hidden="1"/>
    <row customHeight="1" ht="14.25">
      <c r="C13" s="319"/>
      <c r="D13" s="306"/>
      <c r="E13" s="306"/>
      <c r="F13" s="306"/>
      <c r="G13" s="306"/>
      <c r="H13" s="307"/>
      <c r="I13" s="307"/>
    </row>
    <row customHeight="1" ht="27.75">
      <c r="C14" s="319"/>
      <c r="D14" s="258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81"/>
      <c r="F14" s="2581"/>
      <c r="G14" s="2581"/>
      <c r="H14" s="2582"/>
      <c r="J14" s="1858"/>
    </row>
    <row s="16676" customFormat="1" customHeight="1" ht="14.25">
      <c r="A15" s="1589"/>
      <c r="B15" s="1384"/>
      <c r="C15" s="598"/>
      <c r="D15" s="2583" t="str">
        <f>IF(org=0,"Не определено",org)</f>
        <v>КГУП "Примтеплоэнерго"</v>
      </c>
      <c r="E15" s="2584"/>
      <c r="F15" s="2584"/>
      <c r="G15" s="2584"/>
      <c r="H15" s="2585"/>
      <c r="J15" s="1074"/>
      <c r="K15" s="1851"/>
      <c r="L15" s="1851"/>
    </row>
    <row customHeight="1" ht="14.25">
      <c r="C16" s="319"/>
      <c r="D16" s="306"/>
      <c r="E16" s="318"/>
      <c r="F16" s="318"/>
      <c r="G16" s="318"/>
      <c r="H16" s="974"/>
      <c r="I16" s="415"/>
    </row>
    <row s="16676" customFormat="1" customHeight="1" ht="14.25" hidden="1">
      <c r="A17" s="1589"/>
      <c r="B17" s="1384"/>
      <c r="C17" s="598"/>
      <c r="D17" s="585"/>
      <c r="E17" s="611"/>
      <c r="F17" s="611"/>
      <c r="G17" s="611"/>
      <c r="H17" s="974"/>
      <c r="I17" s="415"/>
      <c r="K17" s="1851"/>
      <c r="L17" s="1851"/>
    </row>
    <row customHeight="1" ht="21">
      <c r="C18" s="319"/>
      <c r="D18" s="2343" t="s">
        <v>406</v>
      </c>
      <c r="E18" s="2343"/>
      <c r="F18" s="2343"/>
      <c r="G18" s="2343"/>
      <c r="H18" s="2343"/>
      <c r="I18" s="2586" t="s">
        <v>407</v>
      </c>
    </row>
    <row customHeight="1" ht="21">
      <c r="C19" s="319"/>
      <c r="D19" s="328" t="s">
        <v>84</v>
      </c>
      <c r="E19" s="331" t="s">
        <v>408</v>
      </c>
      <c r="F19" s="331"/>
      <c r="G19" s="331" t="s">
        <v>409</v>
      </c>
      <c r="H19" s="331" t="s">
        <v>496</v>
      </c>
      <c r="I19" s="2586"/>
    </row>
    <row customHeight="1" ht="12" hidden="1">
      <c r="C20" s="319"/>
      <c r="D20" s="309"/>
      <c r="E20" s="309"/>
      <c r="F20" s="309"/>
      <c r="G20" s="309"/>
      <c r="H20" s="309"/>
      <c r="I20" s="309"/>
    </row>
    <row customHeight="1" ht="14.25">
      <c r="A21" s="1910"/>
      <c r="C21" s="319"/>
      <c r="D21" s="370">
        <v>1</v>
      </c>
      <c r="E21" s="2588" t="s">
        <v>1155</v>
      </c>
      <c r="F21" s="2588"/>
      <c r="G21" s="2588"/>
      <c r="H21" s="2588"/>
      <c r="I21" s="430"/>
    </row>
    <row customHeight="1" ht="20.25">
      <c r="A22" s="1910"/>
      <c r="C22" s="319"/>
      <c r="D22" s="370" t="s">
        <v>1045</v>
      </c>
      <c r="E22" s="416" t="s">
        <v>1156</v>
      </c>
      <c r="F22" s="420"/>
      <c r="G22" s="1964"/>
      <c r="H22" s="420" t="s">
        <v>412</v>
      </c>
      <c r="I22" s="374" t="s">
        <v>1157</v>
      </c>
    </row>
    <row customHeight="1" ht="45">
      <c r="A23" s="1910"/>
      <c r="C23" s="319"/>
      <c r="D23" s="370" t="s">
        <v>1047</v>
      </c>
      <c r="E23" s="416" t="s">
        <v>1158</v>
      </c>
      <c r="F23" s="420"/>
      <c r="G23" s="479"/>
      <c r="H23" s="435"/>
      <c r="I23" s="480" t="s">
        <v>1159</v>
      </c>
    </row>
    <row customHeight="1" ht="14.25">
      <c r="A24" s="1910"/>
      <c r="B24" s="369">
        <v>3</v>
      </c>
      <c r="C24" s="319"/>
      <c r="D24" s="370">
        <v>2</v>
      </c>
      <c r="E24" s="44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420"/>
      <c r="G24" s="420" t="s">
        <v>412</v>
      </c>
      <c r="H24" s="435"/>
      <c r="I24" s="481" t="s">
        <v>912</v>
      </c>
    </row>
    <row customHeight="1" ht="46.5">
      <c r="A25" s="1910"/>
      <c r="C25" s="319"/>
      <c r="D25" s="370">
        <v>3</v>
      </c>
      <c r="E25" s="258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87"/>
      <c r="G25" s="2587"/>
      <c r="H25" s="2587"/>
      <c r="I25" s="478"/>
    </row>
    <row customHeight="1" ht="14.25">
      <c r="A26" s="1910"/>
      <c r="C26" s="319"/>
      <c r="D26" s="370" t="s">
        <v>430</v>
      </c>
      <c r="E26" s="421"/>
      <c r="F26" s="420"/>
      <c r="G26" s="420" t="s">
        <v>412</v>
      </c>
      <c r="H26" s="435"/>
      <c r="I26" s="2297" t="s">
        <v>1160</v>
      </c>
    </row>
    <row customHeight="1" ht="15">
      <c r="A27" s="1910" t="s">
        <v>168</v>
      </c>
      <c r="C27" s="319"/>
      <c r="D27" s="332"/>
      <c r="E27" s="425" t="s">
        <v>428</v>
      </c>
      <c r="F27" s="426"/>
      <c r="G27" s="426"/>
      <c r="H27" s="423"/>
      <c r="I27" s="2299"/>
    </row>
    <row customHeight="1" ht="38.25">
      <c r="A28" s="1910"/>
      <c r="B28" s="369">
        <v>3</v>
      </c>
      <c r="C28" s="319"/>
      <c r="D28" s="370">
        <v>4</v>
      </c>
      <c r="E28" s="258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87"/>
      <c r="G28" s="2587"/>
      <c r="H28" s="2587"/>
      <c r="I28" s="478"/>
    </row>
    <row customHeight="1" ht="20.25">
      <c r="A29" s="1910"/>
      <c r="C29" s="319"/>
      <c r="D29" s="370" t="s">
        <v>773</v>
      </c>
      <c r="E29" s="427" t="s">
        <v>1150</v>
      </c>
      <c r="F29" s="420"/>
      <c r="G29" s="479"/>
      <c r="H29" s="420" t="s">
        <v>412</v>
      </c>
      <c r="I29" s="2297" t="s">
        <v>1161</v>
      </c>
    </row>
    <row customHeight="1" ht="15">
      <c r="A30" s="1910" t="s">
        <v>99</v>
      </c>
      <c r="C30" s="319"/>
      <c r="D30" s="332"/>
      <c r="E30" s="425" t="s">
        <v>428</v>
      </c>
      <c r="F30" s="426"/>
      <c r="G30" s="426"/>
      <c r="H30" s="423"/>
      <c r="I30" s="2299"/>
    </row>
    <row customHeight="1" ht="30">
      <c r="A31" s="1910"/>
      <c r="B31" s="369">
        <v>3</v>
      </c>
      <c r="C31" s="319"/>
      <c r="D31" s="370">
        <v>5</v>
      </c>
      <c r="E31" s="258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87"/>
      <c r="G31" s="2587"/>
      <c r="H31" s="2587"/>
      <c r="I31" s="478"/>
    </row>
    <row customHeight="1" ht="26.25">
      <c r="A32" s="1910"/>
      <c r="C32" s="319"/>
      <c r="D32" s="370" t="s">
        <v>419</v>
      </c>
      <c r="E32" s="252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529"/>
      <c r="G32" s="2529"/>
      <c r="H32" s="2529"/>
      <c r="I32" s="478"/>
    </row>
    <row customHeight="1" ht="14.25">
      <c r="A33" s="1910"/>
      <c r="C33" s="319"/>
      <c r="D33" s="370" t="s">
        <v>1162</v>
      </c>
      <c r="E33" s="428" t="s">
        <v>1151</v>
      </c>
      <c r="F33" s="420"/>
      <c r="G33" s="479"/>
      <c r="H33" s="420" t="s">
        <v>412</v>
      </c>
      <c r="I33" s="2297" t="s">
        <v>1163</v>
      </c>
    </row>
    <row customHeight="1" ht="15">
      <c r="A34" s="1910" t="s">
        <v>86</v>
      </c>
      <c r="C34" s="319"/>
      <c r="D34" s="332"/>
      <c r="E34" s="426" t="s">
        <v>428</v>
      </c>
      <c r="F34" s="422"/>
      <c r="G34" s="422"/>
      <c r="H34" s="423"/>
      <c r="I34" s="2299"/>
    </row>
    <row customHeight="1" ht="24">
      <c r="A35" s="1910"/>
      <c r="C35" s="319"/>
      <c r="D35" s="370" t="s">
        <v>902</v>
      </c>
      <c r="E35" s="252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529"/>
      <c r="G35" s="2529"/>
      <c r="H35" s="2529"/>
      <c r="I35" s="478"/>
    </row>
    <row customHeight="1" ht="14.25">
      <c r="A36" s="1910"/>
      <c r="C36" s="319"/>
      <c r="D36" s="370" t="s">
        <v>1164</v>
      </c>
      <c r="E36" s="428" t="s">
        <v>1152</v>
      </c>
      <c r="F36" s="420"/>
      <c r="G36" s="479"/>
      <c r="H36" s="420" t="s">
        <v>412</v>
      </c>
      <c r="I36" s="2279" t="s">
        <v>1165</v>
      </c>
    </row>
    <row customHeight="1" ht="15">
      <c r="A37" s="1910" t="s">
        <v>87</v>
      </c>
      <c r="C37" s="319"/>
      <c r="D37" s="332"/>
      <c r="E37" s="426" t="s">
        <v>428</v>
      </c>
      <c r="F37" s="422"/>
      <c r="G37" s="422"/>
      <c r="H37" s="423"/>
      <c r="I37" s="2279"/>
    </row>
    <row customHeight="1" ht="26.25">
      <c r="A38" s="1910"/>
      <c r="C38" s="319"/>
      <c r="D38" s="370" t="s">
        <v>903</v>
      </c>
      <c r="E38" s="252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529"/>
      <c r="G38" s="2529"/>
      <c r="H38" s="2529"/>
      <c r="I38" s="478"/>
    </row>
    <row customHeight="1" ht="14.25">
      <c r="A39" s="1910"/>
      <c r="C39" s="319"/>
      <c r="D39" s="370" t="s">
        <v>904</v>
      </c>
      <c r="E39" s="428" t="s">
        <v>1153</v>
      </c>
      <c r="F39" s="420"/>
      <c r="G39" s="429"/>
      <c r="H39" s="420" t="s">
        <v>412</v>
      </c>
      <c r="I39" s="2297" t="s">
        <v>1166</v>
      </c>
      <c r="L39" s="378" t="s">
        <v>1154</v>
      </c>
    </row>
    <row customHeight="1" ht="15">
      <c r="A40" s="1910" t="s">
        <v>113</v>
      </c>
      <c r="C40" s="319"/>
      <c r="D40" s="332"/>
      <c r="E40" s="426" t="s">
        <v>428</v>
      </c>
      <c r="F40" s="422"/>
      <c r="G40" s="422"/>
      <c r="H40" s="423"/>
      <c r="I40" s="2299"/>
    </row>
    <row s="22293" customFormat="1" customHeight="1" ht="3">
      <c r="A41" s="1910"/>
      <c r="K41" s="418"/>
      <c r="L41" s="418"/>
    </row>
    <row customHeight="1" ht="24.75">
      <c r="D42" s="1908" t="s">
        <v>824</v>
      </c>
      <c r="E42" s="23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87"/>
      <c r="G42" s="2387"/>
      <c r="H42" s="2387"/>
      <c r="I42" s="2387"/>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90CB0C-3B38-5249-CDFE-C6981C3D4886}" mc:Ignorable="x14ac xr xr2 xr3">
  <sheetPr>
    <tabColor theme="6" tint="0.4"/>
  </sheetPr>
  <dimension ref="A1:AG323"/>
  <sheetViews>
    <sheetView topLeftCell="A1" showGridLines="0" zoomScale="90" workbookViewId="0">
      <selection activeCell="K185" sqref="K185"/>
    </sheetView>
  </sheetViews>
  <sheetFormatPr defaultColWidth="10.57421875" customHeight="1" defaultRowHeight="14.25"/>
  <cols>
    <col min="1" max="2" style="22349" width="25.140625" hidden="1" customWidth="1"/>
    <col min="3" max="3" style="22350" width="9.140625" hidden="1" customWidth="1"/>
    <col min="4" max="4" style="16633" width="3.7109375" customWidth="1"/>
    <col min="5" max="5" style="22351" width="6.28125" customWidth="1"/>
    <col min="6" max="6" style="22351" width="46.7109375" customWidth="1"/>
    <col min="7" max="7" style="22351" width="35.7109375" customWidth="1"/>
    <col min="8" max="8" style="22351" width="3.7109375" customWidth="1"/>
    <col min="9" max="10" style="22351" width="11.7109375" customWidth="1"/>
    <col min="11" max="12" style="22351" width="35.7109375" customWidth="1"/>
    <col min="13" max="13" style="22351" width="84.8515625" customWidth="1"/>
    <col min="14" max="14" style="22351" width="10.57421875"/>
    <col min="15" max="16" style="22352" width="10.57421875"/>
    <col min="17" max="33" style="22351" width="10.57421875"/>
  </cols>
  <sheetData>
    <row s="16676" customFormat="1" customHeight="1" ht="14.25" hidden="1">
      <c r="A1" s="2006"/>
      <c r="B1" s="2006"/>
      <c r="C1" s="591"/>
      <c r="D1" s="566"/>
      <c r="N1" s="1863">
        <f>_xlfn.IFERROR(MATCH("метод экономически обоснованных расходов (затрат)",OFFER_METHOD,0),0)</f>
        <v>0</v>
      </c>
      <c r="O1" s="1851"/>
      <c r="P1" s="1851"/>
      <c r="T1" s="1053"/>
      <c r="AG1" s="477"/>
    </row>
    <row s="16676" customFormat="1" customHeight="1" ht="18.75" hidden="1">
      <c r="A2" s="2007" t="s">
        <v>205</v>
      </c>
      <c r="B2" s="2007" t="s">
        <v>206</v>
      </c>
      <c r="C2" s="591"/>
      <c r="D2" s="566"/>
      <c r="E2" s="1254"/>
      <c r="F2" s="1254"/>
      <c r="G2" s="2550" t="str">
        <f>INDEX(PT_DIFFERENTIATION_NTAR,MATCH(B2,PT_DIFFERENTIATION_NTAR_ID,0))</f>
        <v/>
      </c>
      <c r="H2" s="2092"/>
      <c r="I2" s="1966"/>
      <c r="J2" s="2000"/>
      <c r="K2" s="2093"/>
      <c r="L2" s="2092" t="s">
        <v>412</v>
      </c>
      <c r="M2" s="2103"/>
      <c r="N2" s="556"/>
      <c r="O2" s="1851"/>
      <c r="P2" s="1851"/>
    </row>
    <row s="16676" customFormat="1" customHeight="1" ht="18.75" hidden="1">
      <c r="A3" s="2007"/>
      <c r="B3" s="2007"/>
      <c r="C3" s="591" t="s">
        <v>1167</v>
      </c>
      <c r="D3" s="566"/>
      <c r="E3" s="1254"/>
      <c r="F3" s="1254"/>
      <c r="G3" s="2550"/>
      <c r="H3" s="1727"/>
      <c r="I3" s="873" t="s">
        <v>1168</v>
      </c>
      <c r="J3" s="793"/>
      <c r="K3" s="1727"/>
      <c r="L3" s="436"/>
      <c r="M3" s="2103"/>
      <c r="N3" s="556"/>
      <c r="O3" s="1851"/>
      <c r="P3" s="1851"/>
    </row>
    <row s="16676" customFormat="1" customHeight="1" ht="14.25" hidden="1">
      <c r="A4" s="2006"/>
      <c r="B4" s="2006"/>
      <c r="C4" s="591"/>
      <c r="D4" s="566"/>
      <c r="N4" s="1863">
        <f>_xlfn.IFERROR(MATCH("метод экономически обоснованных расходов (затрат)",OFFER_METHOD,0),0)</f>
        <v>0</v>
      </c>
      <c r="O4" s="1851"/>
      <c r="P4" s="1851"/>
      <c r="T4" s="1053"/>
      <c r="AG4" s="477"/>
    </row>
    <row s="16676" customFormat="1" customHeight="1" ht="18.75" hidden="1">
      <c r="A5" s="2007" t="s">
        <v>205</v>
      </c>
      <c r="B5" s="2007" t="s">
        <v>206</v>
      </c>
      <c r="C5" s="591"/>
      <c r="D5" s="566"/>
      <c r="E5" s="1254"/>
      <c r="F5" s="1254"/>
      <c r="G5" s="2550" t="str">
        <f>INDEX(PT_DIFFERENTIATION_NTAR,MATCH(B5,PT_DIFFERENTIATION_NTAR_ID,0))</f>
        <v/>
      </c>
      <c r="H5" s="2092"/>
      <c r="I5" s="1966"/>
      <c r="J5" s="2000"/>
      <c r="K5" s="2005"/>
      <c r="L5" s="2092" t="s">
        <v>412</v>
      </c>
      <c r="M5" s="2103"/>
      <c r="N5" s="556"/>
      <c r="O5" s="1851"/>
      <c r="P5" s="1851"/>
    </row>
    <row s="16676" customFormat="1" customHeight="1" ht="18.75" hidden="1">
      <c r="A6" s="2007"/>
      <c r="B6" s="2007"/>
      <c r="C6" s="591" t="s">
        <v>1169</v>
      </c>
      <c r="D6" s="566"/>
      <c r="E6" s="1254"/>
      <c r="F6" s="1254"/>
      <c r="G6" s="2550"/>
      <c r="H6" s="1727"/>
      <c r="I6" s="873" t="s">
        <v>1168</v>
      </c>
      <c r="J6" s="793"/>
      <c r="K6" s="1727"/>
      <c r="L6" s="436"/>
      <c r="M6" s="2103"/>
      <c r="N6" s="556"/>
      <c r="O6" s="1851"/>
      <c r="P6" s="1851"/>
    </row>
    <row s="16676" customFormat="1" customHeight="1" ht="14.25" hidden="1">
      <c r="A7" s="2006"/>
      <c r="B7" s="2006"/>
      <c r="C7" s="591"/>
      <c r="D7" s="566"/>
      <c r="N7" s="1863">
        <f>_xlfn.IFERROR(MATCH("метод экономически обоснованных расходов (затрат)",OFFER_METHOD,0),0)</f>
        <v>0</v>
      </c>
      <c r="O7" s="1851"/>
      <c r="P7" s="1851"/>
      <c r="T7" s="1053"/>
      <c r="AG7" s="477"/>
    </row>
    <row s="16676" customFormat="1" customHeight="1" ht="56.25" hidden="1">
      <c r="A8" s="2007"/>
      <c r="B8" s="2007"/>
      <c r="C8" s="591"/>
      <c r="D8" s="566"/>
      <c r="E8" s="1254"/>
      <c r="F8" s="1254"/>
      <c r="G8" s="1254"/>
      <c r="H8" s="1998"/>
      <c r="I8" s="1966"/>
      <c r="J8" s="2000"/>
      <c r="K8" s="2093"/>
      <c r="L8" s="1998" t="s">
        <v>412</v>
      </c>
      <c r="M8" s="2103"/>
      <c r="N8" s="556"/>
      <c r="O8" s="1851"/>
      <c r="P8" s="1851"/>
    </row>
    <row customHeight="1" ht="14.25" hidden="1">
      <c r="T9" s="619"/>
      <c r="AG9" s="477"/>
    </row>
    <row s="16676" customFormat="1" customHeight="1" ht="56.25" hidden="1">
      <c r="A10" s="2007"/>
      <c r="B10" s="2007"/>
      <c r="C10" s="591"/>
      <c r="D10" s="566"/>
      <c r="E10" s="1254"/>
      <c r="F10" s="1254"/>
      <c r="G10" s="1254"/>
      <c r="H10" s="1997"/>
      <c r="I10" s="1966"/>
      <c r="J10" s="2000"/>
      <c r="K10" s="2005"/>
      <c r="L10" s="1998" t="s">
        <v>412</v>
      </c>
      <c r="M10" s="2103"/>
      <c r="N10" s="556"/>
      <c r="O10" s="1851"/>
      <c r="P10" s="1851"/>
    </row>
    <row customHeight="1" ht="14.25" hidden="1"/>
    <row customHeight="1" ht="14.25" hidden="1"/>
    <row customHeight="1" ht="6">
      <c r="D13" s="598"/>
      <c r="E13" s="585"/>
      <c r="F13" s="585"/>
      <c r="G13" s="585"/>
      <c r="H13" s="585"/>
      <c r="I13" s="585"/>
      <c r="J13" s="585"/>
      <c r="K13" s="585"/>
      <c r="L13" s="307"/>
      <c r="M13" s="307"/>
    </row>
    <row customHeight="1" ht="14.25">
      <c r="D14" s="598"/>
      <c r="E14" s="258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89"/>
      <c r="G14" s="2589"/>
      <c r="H14" s="2589"/>
      <c r="I14" s="2589"/>
      <c r="J14" s="2589"/>
      <c r="K14" s="2589"/>
      <c r="L14" s="2589"/>
      <c r="M14" s="442"/>
    </row>
    <row customHeight="1" ht="6">
      <c r="D15" s="598"/>
      <c r="E15" s="585"/>
      <c r="F15" s="611"/>
      <c r="G15" s="611"/>
      <c r="H15" s="611"/>
      <c r="I15" s="611"/>
      <c r="J15" s="611"/>
      <c r="K15" s="611"/>
      <c r="L15" s="544"/>
      <c r="M15" s="415"/>
    </row>
    <row customHeight="1" ht="18.75">
      <c r="D16" s="598"/>
      <c r="E16" s="585"/>
      <c r="F16" s="527" t="str">
        <f>"Дата подачи заявления об "&amp;IF(TITLE_DATE_PR_CHANGE="","утверждении","изменении")&amp;" тарифов"</f>
        <v>Дата подачи заявления об изменении тарифов</v>
      </c>
      <c r="G16" s="2380" t="str">
        <f>IF(TITLE_DATE_PR_CHANGE="",IF(TITLE_DATE_PR="","",TITLE_DATE_PR),TITLE_DATE_PR_CHANGE)</f>
        <v>45407.47206018519</v>
      </c>
      <c r="H16" s="2380"/>
      <c r="I16" s="2380"/>
      <c r="J16" s="2380"/>
      <c r="K16" s="2380"/>
      <c r="L16" s="2380"/>
      <c r="M16" s="620"/>
      <c r="N16" s="548"/>
    </row>
    <row customHeight="1" ht="18.75">
      <c r="D17" s="598"/>
      <c r="E17" s="585"/>
      <c r="F17" s="527" t="str">
        <f>"Номер подачи заявления об "&amp;IF(TITLE_DATE_PR_CHANGE="","утверждении","изменении")&amp;" тарифов"</f>
        <v>Номер подачи заявления об изменении тарифов</v>
      </c>
      <c r="G17" s="2381" t="str">
        <f>IF(TITLE_NUMBER_PR_CHANGE="",IF(TITLE_NUMBER_PR="","",TITLE_NUMBER_PR),TITLE_NUMBER_PR_CHANGE)</f>
        <v>27-2067</v>
      </c>
      <c r="H17" s="2381"/>
      <c r="I17" s="2381"/>
      <c r="J17" s="2381"/>
      <c r="K17" s="2381"/>
      <c r="L17" s="2381"/>
      <c r="M17" s="620"/>
      <c r="N17" s="548"/>
    </row>
    <row customHeight="1" ht="14.25">
      <c r="D18" s="598"/>
      <c r="E18" s="585"/>
      <c r="F18" s="611"/>
      <c r="G18" s="611"/>
      <c r="H18" s="611"/>
      <c r="I18" s="611"/>
      <c r="J18" s="611"/>
      <c r="K18" s="611"/>
      <c r="L18" s="974"/>
      <c r="M18" s="415"/>
    </row>
    <row customHeight="1" ht="21">
      <c r="D19" s="598"/>
      <c r="E19" s="2343" t="s">
        <v>406</v>
      </c>
      <c r="F19" s="2343"/>
      <c r="G19" s="2343"/>
      <c r="H19" s="2343"/>
      <c r="I19" s="2343"/>
      <c r="J19" s="2343"/>
      <c r="K19" s="2343"/>
      <c r="L19" s="2343"/>
      <c r="M19" s="2586" t="s">
        <v>407</v>
      </c>
    </row>
    <row customHeight="1" ht="21">
      <c r="D20" s="598"/>
      <c r="E20" s="2410" t="s">
        <v>84</v>
      </c>
      <c r="F20" s="2354" t="s">
        <v>178</v>
      </c>
      <c r="G20" s="2354" t="s">
        <v>179</v>
      </c>
      <c r="H20" s="2554" t="s">
        <v>1170</v>
      </c>
      <c r="I20" s="2558"/>
      <c r="J20" s="2555"/>
      <c r="K20" s="2354" t="s">
        <v>409</v>
      </c>
      <c r="L20" s="2354" t="s">
        <v>496</v>
      </c>
      <c r="M20" s="2586"/>
    </row>
    <row customHeight="1" ht="21">
      <c r="D21" s="598"/>
      <c r="E21" s="2412"/>
      <c r="F21" s="2355"/>
      <c r="G21" s="2355"/>
      <c r="H21" s="2349" t="s">
        <v>1171</v>
      </c>
      <c r="I21" s="2365"/>
      <c r="J21" s="331" t="s">
        <v>1172</v>
      </c>
      <c r="K21" s="2355"/>
      <c r="L21" s="2355"/>
      <c r="M21" s="2586"/>
    </row>
    <row customHeight="1" ht="12">
      <c r="D22" s="598"/>
      <c r="E22" s="503"/>
      <c r="F22" s="503"/>
      <c r="G22" s="503"/>
      <c r="H22" s="2591"/>
      <c r="I22" s="2591"/>
      <c r="J22" s="503"/>
      <c r="K22" s="503"/>
      <c r="L22" s="503"/>
      <c r="M22" s="503"/>
    </row>
    <row customHeight="1" ht="18.75">
      <c r="A23" s="2007"/>
      <c r="B23" s="2007"/>
      <c r="D23" s="598"/>
      <c r="E23" s="2094" t="s">
        <v>168</v>
      </c>
      <c r="F23" s="2592" t="str">
        <f>"Предлагаемый метод регулирования"&amp;IF(TEMPLATE_SPHERE="HEAT"," в сфере "&amp;TEMPLATE_SPHERE_RUS,"")</f>
        <v>Предлагаемый метод регулирования</v>
      </c>
      <c r="G23" s="2593"/>
      <c r="H23" s="2588"/>
      <c r="I23" s="2588"/>
      <c r="J23" s="2588"/>
      <c r="K23" s="2593" t="s">
        <v>412</v>
      </c>
      <c r="L23" s="2588"/>
      <c r="M23" s="1996"/>
      <c r="N23" s="556"/>
    </row>
    <row customHeight="1" ht="60.75" hidden="1">
      <c r="A24" s="2007" t="s">
        <v>205</v>
      </c>
      <c r="B24" s="2007" t="s">
        <v>206</v>
      </c>
      <c r="D24" s="2590"/>
      <c r="E24" s="2338"/>
      <c r="F24" s="259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50" t="str">
        <f>INDEX(PT_DIFFERENTIATION_NTAR,MATCH(B24,PT_DIFFERENTIATION_NTAR_ID,0))</f>
        <v/>
      </c>
      <c r="H24" s="2090"/>
      <c r="I24" s="1966"/>
      <c r="J24" s="2000"/>
      <c r="K24" s="2093"/>
      <c r="L24" s="1995" t="s">
        <v>412</v>
      </c>
      <c r="M24" s="22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56"/>
    </row>
    <row s="16676" customFormat="1" customHeight="1" ht="18.75" hidden="1">
      <c r="A25" s="2007"/>
      <c r="B25" s="2007"/>
      <c r="C25" s="591" t="s">
        <v>1167</v>
      </c>
      <c r="D25" s="2590"/>
      <c r="E25" s="2338"/>
      <c r="F25" s="2594"/>
      <c r="G25" s="2550"/>
      <c r="H25" s="1727"/>
      <c r="I25" s="873" t="s">
        <v>1168</v>
      </c>
      <c r="J25" s="793"/>
      <c r="K25" s="1727"/>
      <c r="L25" s="436"/>
      <c r="M25" s="2298"/>
      <c r="N25" s="556"/>
      <c r="O25" s="1851"/>
      <c r="P25" s="1851"/>
    </row>
    <row customHeight="1" ht="0.75" hidden="1">
      <c r="A26" s="2007"/>
      <c r="B26" s="2007"/>
      <c r="C26" s="591" t="s">
        <v>1173</v>
      </c>
      <c r="D26" s="2590"/>
      <c r="E26" s="2338"/>
      <c r="F26" s="2504"/>
      <c r="G26" s="622"/>
      <c r="H26" s="1727"/>
      <c r="I26" s="617"/>
      <c r="J26" s="571"/>
      <c r="K26" s="1727"/>
      <c r="L26" s="423"/>
      <c r="M26" s="2298"/>
      <c r="N26" s="556"/>
    </row>
    <row s="16676" customFormat="1" customHeight="1" ht="45" hidden="1">
      <c r="A27" s="2007" t="s">
        <v>211</v>
      </c>
      <c r="B27" s="2007" t="s">
        <v>212</v>
      </c>
      <c r="C27" s="591"/>
      <c r="D27" s="2595"/>
      <c r="E27" s="2596"/>
      <c r="F27" s="259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50" t="str">
        <f>INDEX(PT_DIFFERENTIATION_NTAR,MATCH(B27,PT_DIFFERENTIATION_NTAR_ID,0))</f>
        <v/>
      </c>
      <c r="H27" s="2090"/>
      <c r="I27" s="1966"/>
      <c r="J27" s="2000"/>
      <c r="K27" s="2093"/>
      <c r="L27" s="2090" t="s">
        <v>412</v>
      </c>
      <c r="M27" s="2298"/>
      <c r="N27" s="556"/>
      <c r="O27" s="1851"/>
      <c r="P27" s="1851"/>
    </row>
    <row s="16676" customFormat="1" customHeight="1" ht="18.75" hidden="1">
      <c r="A28" s="2007"/>
      <c r="B28" s="2007"/>
      <c r="C28" s="591" t="s">
        <v>1167</v>
      </c>
      <c r="D28" s="2595"/>
      <c r="E28" s="2596"/>
      <c r="F28" s="2597"/>
      <c r="G28" s="2550"/>
      <c r="H28" s="1727"/>
      <c r="I28" s="873" t="s">
        <v>1168</v>
      </c>
      <c r="J28" s="793"/>
      <c r="K28" s="1727"/>
      <c r="L28" s="436"/>
      <c r="M28" s="2298"/>
      <c r="N28" s="556"/>
      <c r="O28" s="1851"/>
      <c r="P28" s="1851"/>
    </row>
    <row s="16676" customFormat="1" customHeight="1" ht="0.75" hidden="1">
      <c r="A29" s="2007"/>
      <c r="B29" s="2007"/>
      <c r="C29" s="591" t="s">
        <v>1173</v>
      </c>
      <c r="D29" s="2595"/>
      <c r="E29" s="2338"/>
      <c r="F29" s="2504"/>
      <c r="G29" s="622"/>
      <c r="H29" s="1727"/>
      <c r="I29" s="873"/>
      <c r="J29" s="793"/>
      <c r="K29" s="1727"/>
      <c r="L29" s="436"/>
      <c r="M29" s="2298"/>
      <c r="N29" s="556"/>
      <c r="O29" s="1851"/>
      <c r="P29" s="1851"/>
    </row>
    <row s="16676" customFormat="1" customHeight="1" ht="45" hidden="1">
      <c r="A30" s="2007" t="s">
        <v>217</v>
      </c>
      <c r="B30" s="2007" t="s">
        <v>218</v>
      </c>
      <c r="C30" s="591"/>
      <c r="D30" s="2595"/>
      <c r="E30" s="2338"/>
      <c r="F30" s="250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50" t="str">
        <f>INDEX(PT_DIFFERENTIATION_NTAR,MATCH(B30,PT_DIFFERENTIATION_NTAR_ID,0))</f>
        <v/>
      </c>
      <c r="H30" s="2090"/>
      <c r="I30" s="1966"/>
      <c r="J30" s="2000"/>
      <c r="K30" s="2093"/>
      <c r="L30" s="2090" t="s">
        <v>412</v>
      </c>
      <c r="M30" s="2298"/>
      <c r="N30" s="556"/>
      <c r="O30" s="1851"/>
      <c r="P30" s="1851"/>
    </row>
    <row s="16676" customFormat="1" customHeight="1" ht="18.75" hidden="1">
      <c r="A31" s="2007"/>
      <c r="B31" s="2007"/>
      <c r="C31" s="591" t="s">
        <v>1167</v>
      </c>
      <c r="D31" s="2595"/>
      <c r="E31" s="2338"/>
      <c r="F31" s="2504"/>
      <c r="G31" s="2550"/>
      <c r="H31" s="1727"/>
      <c r="I31" s="873" t="s">
        <v>1168</v>
      </c>
      <c r="J31" s="793"/>
      <c r="K31" s="1727"/>
      <c r="L31" s="436"/>
      <c r="M31" s="2298"/>
      <c r="N31" s="556"/>
      <c r="O31" s="1851"/>
      <c r="P31" s="1851"/>
    </row>
    <row s="16676" customFormat="1" customHeight="1" ht="0.75" hidden="1">
      <c r="A32" s="2007"/>
      <c r="B32" s="2007"/>
      <c r="C32" s="591" t="s">
        <v>1173</v>
      </c>
      <c r="D32" s="2595"/>
      <c r="E32" s="2338"/>
      <c r="F32" s="2504"/>
      <c r="G32" s="622"/>
      <c r="H32" s="1727"/>
      <c r="I32" s="873"/>
      <c r="J32" s="793"/>
      <c r="K32" s="1727"/>
      <c r="L32" s="436"/>
      <c r="M32" s="2298"/>
      <c r="N32" s="556"/>
      <c r="O32" s="1851"/>
      <c r="P32" s="1851"/>
    </row>
    <row s="16676" customFormat="1" customHeight="1" ht="45" hidden="1">
      <c r="A33" s="2007" t="s">
        <v>223</v>
      </c>
      <c r="B33" s="2007" t="s">
        <v>224</v>
      </c>
      <c r="C33" s="591"/>
      <c r="D33" s="2595"/>
      <c r="E33" s="2338"/>
      <c r="F33" s="250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50" t="str">
        <f>INDEX(PT_DIFFERENTIATION_NTAR,MATCH(B33,PT_DIFFERENTIATION_NTAR_ID,0))</f>
        <v/>
      </c>
      <c r="H33" s="2090"/>
      <c r="I33" s="1966"/>
      <c r="J33" s="2000"/>
      <c r="K33" s="2093"/>
      <c r="L33" s="2090" t="s">
        <v>412</v>
      </c>
      <c r="M33" s="2298"/>
      <c r="N33" s="556"/>
      <c r="O33" s="1851"/>
      <c r="P33" s="1851"/>
    </row>
    <row s="16676" customFormat="1" customHeight="1" ht="18.75" hidden="1">
      <c r="A34" s="2007"/>
      <c r="B34" s="2007"/>
      <c r="C34" s="591" t="s">
        <v>1167</v>
      </c>
      <c r="D34" s="2595"/>
      <c r="E34" s="2338"/>
      <c r="F34" s="2504"/>
      <c r="G34" s="2550"/>
      <c r="H34" s="1727"/>
      <c r="I34" s="873" t="s">
        <v>1168</v>
      </c>
      <c r="J34" s="793"/>
      <c r="K34" s="1727"/>
      <c r="L34" s="436"/>
      <c r="M34" s="2298"/>
      <c r="N34" s="556"/>
      <c r="O34" s="1851"/>
      <c r="P34" s="1851"/>
    </row>
    <row s="16676" customFormat="1" customHeight="1" ht="0.75" hidden="1">
      <c r="A35" s="2007"/>
      <c r="B35" s="2007"/>
      <c r="C35" s="591" t="s">
        <v>1173</v>
      </c>
      <c r="D35" s="2595"/>
      <c r="E35" s="2338"/>
      <c r="F35" s="2504"/>
      <c r="G35" s="622"/>
      <c r="H35" s="1727"/>
      <c r="I35" s="873"/>
      <c r="J35" s="793"/>
      <c r="K35" s="1727"/>
      <c r="L35" s="436"/>
      <c r="M35" s="2298"/>
      <c r="N35" s="556"/>
      <c r="O35" s="1851"/>
      <c r="P35" s="1851"/>
    </row>
    <row s="16676" customFormat="1" customHeight="1" ht="18.75" hidden="1">
      <c r="A36" s="2007" t="s">
        <v>229</v>
      </c>
      <c r="B36" s="2007" t="s">
        <v>230</v>
      </c>
      <c r="C36" s="591"/>
      <c r="D36" s="2595"/>
      <c r="E36" s="2338"/>
      <c r="F36" s="2504" t="str">
        <f>INDEX(PT_DIFFERENTIATION_VTAR,MATCH(A36,PT_DIFFERENTIATION_VTAR_ID,0))</f>
        <v>Тарифы на услуги по передаче тепловой энергии</v>
      </c>
      <c r="G36" s="2550" t="str">
        <f>INDEX(PT_DIFFERENTIATION_NTAR,MATCH(B36,PT_DIFFERENTIATION_NTAR_ID,0))</f>
        <v/>
      </c>
      <c r="H36" s="2090"/>
      <c r="I36" s="1966"/>
      <c r="J36" s="2000"/>
      <c r="K36" s="2093"/>
      <c r="L36" s="2090" t="s">
        <v>412</v>
      </c>
      <c r="M36" s="2298"/>
      <c r="N36" s="556"/>
      <c r="O36" s="1851"/>
      <c r="P36" s="1851"/>
    </row>
    <row s="16676" customFormat="1" customHeight="1" ht="18.75" hidden="1">
      <c r="A37" s="2007"/>
      <c r="B37" s="2007"/>
      <c r="C37" s="591" t="s">
        <v>1167</v>
      </c>
      <c r="D37" s="2595"/>
      <c r="E37" s="2338"/>
      <c r="F37" s="2504"/>
      <c r="G37" s="2550"/>
      <c r="H37" s="1727"/>
      <c r="I37" s="873" t="s">
        <v>1168</v>
      </c>
      <c r="J37" s="793"/>
      <c r="K37" s="1727"/>
      <c r="L37" s="436"/>
      <c r="M37" s="2298"/>
      <c r="N37" s="556"/>
      <c r="O37" s="1851"/>
      <c r="P37" s="1851"/>
    </row>
    <row s="16676" customFormat="1" customHeight="1" ht="0.75" hidden="1">
      <c r="A38" s="2007"/>
      <c r="B38" s="2007"/>
      <c r="C38" s="591" t="s">
        <v>1173</v>
      </c>
      <c r="D38" s="2595"/>
      <c r="E38" s="2338"/>
      <c r="F38" s="2504"/>
      <c r="G38" s="622"/>
      <c r="H38" s="1727"/>
      <c r="I38" s="873"/>
      <c r="J38" s="793"/>
      <c r="K38" s="1727"/>
      <c r="L38" s="436"/>
      <c r="M38" s="2298"/>
      <c r="N38" s="556"/>
      <c r="O38" s="1851"/>
      <c r="P38" s="1851"/>
    </row>
    <row s="16676" customFormat="1" customHeight="1" ht="18.75" hidden="1">
      <c r="A39" s="2007" t="s">
        <v>235</v>
      </c>
      <c r="B39" s="2007" t="s">
        <v>236</v>
      </c>
      <c r="C39" s="591"/>
      <c r="D39" s="2595"/>
      <c r="E39" s="2338"/>
      <c r="F39" s="2504" t="str">
        <f>INDEX(PT_DIFFERENTIATION_VTAR,MATCH(A39,PT_DIFFERENTIATION_VTAR_ID,0))</f>
        <v>Тарифы на услуги по передаче теплоносителя</v>
      </c>
      <c r="G39" s="2550" t="str">
        <f>INDEX(PT_DIFFERENTIATION_NTAR,MATCH(B39,PT_DIFFERENTIATION_NTAR_ID,0))</f>
        <v/>
      </c>
      <c r="H39" s="2090"/>
      <c r="I39" s="1966"/>
      <c r="J39" s="2000"/>
      <c r="K39" s="2093"/>
      <c r="L39" s="2090" t="s">
        <v>412</v>
      </c>
      <c r="M39" s="2298"/>
      <c r="N39" s="556"/>
      <c r="O39" s="1851"/>
      <c r="P39" s="1851"/>
    </row>
    <row s="16676" customFormat="1" customHeight="1" ht="18.75" hidden="1">
      <c r="A40" s="2007"/>
      <c r="B40" s="2007"/>
      <c r="C40" s="591" t="s">
        <v>1167</v>
      </c>
      <c r="D40" s="2595"/>
      <c r="E40" s="2338"/>
      <c r="F40" s="2504"/>
      <c r="G40" s="2550"/>
      <c r="H40" s="1727"/>
      <c r="I40" s="873" t="s">
        <v>1168</v>
      </c>
      <c r="J40" s="793"/>
      <c r="K40" s="1727"/>
      <c r="L40" s="436"/>
      <c r="M40" s="2298"/>
      <c r="N40" s="556"/>
      <c r="O40" s="1851"/>
      <c r="P40" s="1851"/>
    </row>
    <row s="16676" customFormat="1" customHeight="1" ht="0.75" hidden="1">
      <c r="A41" s="2007"/>
      <c r="B41" s="2007"/>
      <c r="C41" s="591" t="s">
        <v>1173</v>
      </c>
      <c r="D41" s="2595"/>
      <c r="E41" s="2338"/>
      <c r="F41" s="2504"/>
      <c r="G41" s="622"/>
      <c r="H41" s="1727"/>
      <c r="I41" s="873"/>
      <c r="J41" s="793"/>
      <c r="K41" s="1727"/>
      <c r="L41" s="436"/>
      <c r="M41" s="2298"/>
      <c r="N41" s="556"/>
      <c r="O41" s="1851"/>
      <c r="P41" s="1851"/>
    </row>
    <row s="16676" customFormat="1" customHeight="1" ht="18.75" hidden="1">
      <c r="A42" s="2007" t="s">
        <v>241</v>
      </c>
      <c r="B42" s="2007" t="s">
        <v>242</v>
      </c>
      <c r="C42" s="591"/>
      <c r="D42" s="2595"/>
      <c r="E42" s="2338"/>
      <c r="F42" s="2504" t="str">
        <f>INDEX(PT_DIFFERENTIATION_VTAR,MATCH(A42,PT_DIFFERENTIATION_VTAR_ID,0))</f>
        <v>Плата за услуги по поддержанию резервной тепловой мощности при отсутствии потребления тепловой энергии</v>
      </c>
      <c r="G42" s="2550" t="str">
        <f>INDEX(PT_DIFFERENTIATION_NTAR,MATCH(B42,PT_DIFFERENTIATION_NTAR_ID,0))</f>
        <v/>
      </c>
      <c r="H42" s="2090"/>
      <c r="I42" s="1966"/>
      <c r="J42" s="2000"/>
      <c r="K42" s="2093"/>
      <c r="L42" s="2090" t="s">
        <v>412</v>
      </c>
      <c r="M42" s="2298"/>
      <c r="N42" s="556"/>
      <c r="O42" s="1851"/>
      <c r="P42" s="1851"/>
    </row>
    <row s="16676" customFormat="1" customHeight="1" ht="18.75" hidden="1">
      <c r="A43" s="2007"/>
      <c r="B43" s="2007"/>
      <c r="C43" s="591" t="s">
        <v>1167</v>
      </c>
      <c r="D43" s="2595"/>
      <c r="E43" s="2338"/>
      <c r="F43" s="2504"/>
      <c r="G43" s="2550"/>
      <c r="H43" s="1727"/>
      <c r="I43" s="873" t="s">
        <v>1168</v>
      </c>
      <c r="J43" s="793"/>
      <c r="K43" s="1727"/>
      <c r="L43" s="436"/>
      <c r="M43" s="2298"/>
      <c r="N43" s="556"/>
      <c r="O43" s="1851"/>
      <c r="P43" s="1851"/>
    </row>
    <row s="16676" customFormat="1" customHeight="1" ht="0.75" hidden="1">
      <c r="A44" s="2007"/>
      <c r="B44" s="2007"/>
      <c r="C44" s="591" t="s">
        <v>1173</v>
      </c>
      <c r="D44" s="2595"/>
      <c r="E44" s="2338"/>
      <c r="F44" s="2504"/>
      <c r="G44" s="622"/>
      <c r="H44" s="1727"/>
      <c r="I44" s="873"/>
      <c r="J44" s="793"/>
      <c r="K44" s="1727"/>
      <c r="L44" s="436"/>
      <c r="M44" s="2298"/>
      <c r="N44" s="556"/>
      <c r="O44" s="1851"/>
      <c r="P44" s="1851"/>
    </row>
    <row s="16676" customFormat="1" customHeight="1" ht="18.75" hidden="1">
      <c r="A45" s="2007" t="s">
        <v>247</v>
      </c>
      <c r="B45" s="2007" t="s">
        <v>248</v>
      </c>
      <c r="C45" s="591"/>
      <c r="D45" s="2595"/>
      <c r="E45" s="2338"/>
      <c r="F45" s="2504" t="str">
        <f>INDEX(PT_DIFFERENTIATION_VTAR,MATCH(A45,PT_DIFFERENTIATION_VTAR_ID,0))</f>
        <v>Плата за подключение (технологическое присоединение) к системе теплоснабжения</v>
      </c>
      <c r="G45" s="2550" t="str">
        <f>INDEX(PT_DIFFERENTIATION_NTAR,MATCH(B45,PT_DIFFERENTIATION_NTAR_ID,0))</f>
        <v/>
      </c>
      <c r="H45" s="2090"/>
      <c r="I45" s="1966"/>
      <c r="J45" s="2000"/>
      <c r="K45" s="2093"/>
      <c r="L45" s="2090" t="s">
        <v>412</v>
      </c>
      <c r="M45" s="2298"/>
      <c r="N45" s="556"/>
      <c r="O45" s="1851"/>
      <c r="P45" s="1851"/>
    </row>
    <row s="16676" customFormat="1" customHeight="1" ht="18.75" hidden="1">
      <c r="A46" s="2007"/>
      <c r="B46" s="2007"/>
      <c r="C46" s="591" t="s">
        <v>1167</v>
      </c>
      <c r="D46" s="2595"/>
      <c r="E46" s="2338"/>
      <c r="F46" s="2504"/>
      <c r="G46" s="2550"/>
      <c r="H46" s="1727"/>
      <c r="I46" s="873" t="s">
        <v>1168</v>
      </c>
      <c r="J46" s="793"/>
      <c r="K46" s="1727"/>
      <c r="L46" s="436"/>
      <c r="M46" s="2298"/>
      <c r="N46" s="556"/>
      <c r="O46" s="1851"/>
      <c r="P46" s="1851"/>
    </row>
    <row s="16676" customFormat="1" customHeight="1" ht="0.75" hidden="1">
      <c r="A47" s="2007"/>
      <c r="B47" s="2007"/>
      <c r="C47" s="591" t="s">
        <v>1173</v>
      </c>
      <c r="D47" s="2595"/>
      <c r="E47" s="2338"/>
      <c r="F47" s="2504"/>
      <c r="G47" s="622"/>
      <c r="H47" s="1727"/>
      <c r="I47" s="873"/>
      <c r="J47" s="793"/>
      <c r="K47" s="1727"/>
      <c r="L47" s="436"/>
      <c r="M47" s="2298"/>
      <c r="N47" s="556"/>
      <c r="O47" s="1851"/>
      <c r="P47" s="1851"/>
    </row>
    <row s="16676" customFormat="1" customHeight="1" ht="18.75" hidden="1">
      <c r="A48" s="2007" t="s">
        <v>273</v>
      </c>
      <c r="B48" s="2007" t="s">
        <v>274</v>
      </c>
      <c r="C48" s="591"/>
      <c r="D48" s="2595"/>
      <c r="E48" s="2338"/>
      <c r="F48" s="2504" t="str">
        <f>INDEX(PT_DIFFERENTIATION_VTAR,MATCH(A48,PT_DIFFERENTIATION_VTAR_ID,0))</f>
        <v>Тариф на питьевую воду (питьевое водоснабжение)</v>
      </c>
      <c r="G48" s="2550" t="str">
        <f>INDEX(PT_DIFFERENTIATION_NTAR,MATCH(B48,PT_DIFFERENTIATION_NTAR_ID,0))</f>
        <v/>
      </c>
      <c r="H48" s="2090"/>
      <c r="I48" s="1966"/>
      <c r="J48" s="2000"/>
      <c r="K48" s="2093"/>
      <c r="L48" s="2090" t="s">
        <v>412</v>
      </c>
      <c r="M48" s="2298"/>
      <c r="N48" s="556"/>
      <c r="O48" s="1851"/>
      <c r="P48" s="1851"/>
    </row>
    <row s="16676" customFormat="1" customHeight="1" ht="18.75" hidden="1">
      <c r="A49" s="2007"/>
      <c r="B49" s="2007"/>
      <c r="C49" s="591" t="s">
        <v>1167</v>
      </c>
      <c r="D49" s="2595"/>
      <c r="E49" s="2338"/>
      <c r="F49" s="2504"/>
      <c r="G49" s="2550"/>
      <c r="H49" s="1727"/>
      <c r="I49" s="873" t="s">
        <v>1168</v>
      </c>
      <c r="J49" s="793"/>
      <c r="K49" s="1727"/>
      <c r="L49" s="436"/>
      <c r="M49" s="2298"/>
      <c r="N49" s="556"/>
      <c r="O49" s="1851"/>
      <c r="P49" s="1851"/>
    </row>
    <row s="16676" customFormat="1" customHeight="1" ht="0.75" hidden="1">
      <c r="A50" s="2007"/>
      <c r="B50" s="2007"/>
      <c r="C50" s="591" t="s">
        <v>1173</v>
      </c>
      <c r="D50" s="2595"/>
      <c r="E50" s="2338"/>
      <c r="F50" s="2504"/>
      <c r="G50" s="622"/>
      <c r="H50" s="1727"/>
      <c r="I50" s="873"/>
      <c r="J50" s="793"/>
      <c r="K50" s="1727"/>
      <c r="L50" s="436"/>
      <c r="M50" s="2298"/>
      <c r="N50" s="556"/>
      <c r="O50" s="1851"/>
      <c r="P50" s="1851"/>
    </row>
    <row s="16676" customFormat="1" customHeight="1" ht="18.75" hidden="1">
      <c r="A51" s="2007" t="s">
        <v>278</v>
      </c>
      <c r="B51" s="2007" t="s">
        <v>279</v>
      </c>
      <c r="C51" s="591"/>
      <c r="D51" s="2595"/>
      <c r="E51" s="2338"/>
      <c r="F51" s="2504" t="str">
        <f>INDEX(PT_DIFFERENTIATION_VTAR,MATCH(A51,PT_DIFFERENTIATION_VTAR_ID,0))</f>
        <v>Тариф на техническую воду</v>
      </c>
      <c r="G51" s="2550" t="str">
        <f>INDEX(PT_DIFFERENTIATION_NTAR,MATCH(B51,PT_DIFFERENTIATION_NTAR_ID,0))</f>
        <v/>
      </c>
      <c r="H51" s="2090"/>
      <c r="I51" s="1966"/>
      <c r="J51" s="2000"/>
      <c r="K51" s="2093"/>
      <c r="L51" s="2090" t="s">
        <v>412</v>
      </c>
      <c r="M51" s="2298"/>
      <c r="N51" s="556"/>
      <c r="O51" s="1851"/>
      <c r="P51" s="1851"/>
    </row>
    <row s="16676" customFormat="1" customHeight="1" ht="18.75" hidden="1">
      <c r="A52" s="2007"/>
      <c r="B52" s="2007"/>
      <c r="C52" s="591" t="s">
        <v>1167</v>
      </c>
      <c r="D52" s="2595"/>
      <c r="E52" s="2338"/>
      <c r="F52" s="2504"/>
      <c r="G52" s="2550"/>
      <c r="H52" s="1727"/>
      <c r="I52" s="873" t="s">
        <v>1168</v>
      </c>
      <c r="J52" s="793"/>
      <c r="K52" s="1727"/>
      <c r="L52" s="436"/>
      <c r="M52" s="2298"/>
      <c r="N52" s="556"/>
      <c r="O52" s="1851"/>
      <c r="P52" s="1851"/>
    </row>
    <row s="16676" customFormat="1" customHeight="1" ht="0.75" hidden="1">
      <c r="A53" s="2007"/>
      <c r="B53" s="2007"/>
      <c r="C53" s="591" t="s">
        <v>1173</v>
      </c>
      <c r="D53" s="2595"/>
      <c r="E53" s="2338"/>
      <c r="F53" s="2504"/>
      <c r="G53" s="622"/>
      <c r="H53" s="1727"/>
      <c r="I53" s="873"/>
      <c r="J53" s="793"/>
      <c r="K53" s="1727"/>
      <c r="L53" s="436"/>
      <c r="M53" s="2298"/>
      <c r="N53" s="556"/>
      <c r="O53" s="1851"/>
      <c r="P53" s="1851"/>
    </row>
    <row s="16676" customFormat="1" customHeight="1" ht="18.75" hidden="1">
      <c r="A54" s="2007" t="s">
        <v>283</v>
      </c>
      <c r="B54" s="2007" t="s">
        <v>284</v>
      </c>
      <c r="C54" s="591"/>
      <c r="D54" s="2595"/>
      <c r="E54" s="2338"/>
      <c r="F54" s="2504" t="str">
        <f>INDEX(PT_DIFFERENTIATION_VTAR,MATCH(A54,PT_DIFFERENTIATION_VTAR_ID,0))</f>
        <v>Тариф на транспортировку воды</v>
      </c>
      <c r="G54" s="2550" t="str">
        <f>INDEX(PT_DIFFERENTIATION_NTAR,MATCH(B54,PT_DIFFERENTIATION_NTAR_ID,0))</f>
        <v/>
      </c>
      <c r="H54" s="2090"/>
      <c r="I54" s="1966"/>
      <c r="J54" s="2000"/>
      <c r="K54" s="2093"/>
      <c r="L54" s="2090" t="s">
        <v>412</v>
      </c>
      <c r="M54" s="2298"/>
      <c r="N54" s="556"/>
      <c r="O54" s="1851"/>
      <c r="P54" s="1851"/>
    </row>
    <row s="16676" customFormat="1" customHeight="1" ht="18.75" hidden="1">
      <c r="A55" s="2007"/>
      <c r="B55" s="2007"/>
      <c r="C55" s="591" t="s">
        <v>1167</v>
      </c>
      <c r="D55" s="2595"/>
      <c r="E55" s="2338"/>
      <c r="F55" s="2504"/>
      <c r="G55" s="2550"/>
      <c r="H55" s="1727"/>
      <c r="I55" s="873" t="s">
        <v>1168</v>
      </c>
      <c r="J55" s="793"/>
      <c r="K55" s="1727"/>
      <c r="L55" s="436"/>
      <c r="M55" s="2298"/>
      <c r="N55" s="556"/>
      <c r="O55" s="1851"/>
      <c r="P55" s="1851"/>
    </row>
    <row s="16676" customFormat="1" customHeight="1" ht="0.75" hidden="1">
      <c r="A56" s="2007"/>
      <c r="B56" s="2007"/>
      <c r="C56" s="591" t="s">
        <v>1173</v>
      </c>
      <c r="D56" s="2595"/>
      <c r="E56" s="2338"/>
      <c r="F56" s="2504"/>
      <c r="G56" s="622"/>
      <c r="H56" s="1727"/>
      <c r="I56" s="873"/>
      <c r="J56" s="793"/>
      <c r="K56" s="1727"/>
      <c r="L56" s="436"/>
      <c r="M56" s="2298"/>
      <c r="N56" s="556"/>
      <c r="O56" s="1851"/>
      <c r="P56" s="1851"/>
    </row>
    <row s="16676" customFormat="1" customHeight="1" ht="18.75" hidden="1">
      <c r="A57" s="2007" t="s">
        <v>288</v>
      </c>
      <c r="B57" s="2007" t="s">
        <v>289</v>
      </c>
      <c r="C57" s="591"/>
      <c r="D57" s="2595"/>
      <c r="E57" s="2338"/>
      <c r="F57" s="2504" t="str">
        <f>INDEX(PT_DIFFERENTIATION_VTAR,MATCH(A57,PT_DIFFERENTIATION_VTAR_ID,0))</f>
        <v>Тариф на подвоз воды</v>
      </c>
      <c r="G57" s="2550" t="str">
        <f>INDEX(PT_DIFFERENTIATION_NTAR,MATCH(B57,PT_DIFFERENTIATION_NTAR_ID,0))</f>
        <v/>
      </c>
      <c r="H57" s="2090"/>
      <c r="I57" s="1966"/>
      <c r="J57" s="2000"/>
      <c r="K57" s="2093"/>
      <c r="L57" s="2090" t="s">
        <v>412</v>
      </c>
      <c r="M57" s="2298"/>
      <c r="N57" s="556"/>
      <c r="O57" s="1851"/>
      <c r="P57" s="1851"/>
    </row>
    <row s="16676" customFormat="1" customHeight="1" ht="18.75" hidden="1">
      <c r="A58" s="2007"/>
      <c r="B58" s="2007"/>
      <c r="C58" s="591" t="s">
        <v>1167</v>
      </c>
      <c r="D58" s="2595"/>
      <c r="E58" s="2338"/>
      <c r="F58" s="2504"/>
      <c r="G58" s="2550"/>
      <c r="H58" s="1727"/>
      <c r="I58" s="873" t="s">
        <v>1168</v>
      </c>
      <c r="J58" s="793"/>
      <c r="K58" s="1727"/>
      <c r="L58" s="436"/>
      <c r="M58" s="2298"/>
      <c r="N58" s="556"/>
      <c r="O58" s="1851"/>
      <c r="P58" s="1851"/>
    </row>
    <row s="16676" customFormat="1" customHeight="1" ht="0.75" hidden="1">
      <c r="A59" s="2007"/>
      <c r="B59" s="2007"/>
      <c r="C59" s="591" t="s">
        <v>1173</v>
      </c>
      <c r="D59" s="2595"/>
      <c r="E59" s="2338"/>
      <c r="F59" s="2504"/>
      <c r="G59" s="622"/>
      <c r="H59" s="1727"/>
      <c r="I59" s="873"/>
      <c r="J59" s="793"/>
      <c r="K59" s="1727"/>
      <c r="L59" s="436"/>
      <c r="M59" s="2298"/>
      <c r="N59" s="556"/>
      <c r="O59" s="1851"/>
      <c r="P59" s="1851"/>
    </row>
    <row s="16676" customFormat="1" customHeight="1" ht="18.75" hidden="1">
      <c r="A60" s="2007" t="s">
        <v>293</v>
      </c>
      <c r="B60" s="2007" t="s">
        <v>294</v>
      </c>
      <c r="C60" s="591"/>
      <c r="D60" s="2595"/>
      <c r="E60" s="2338"/>
      <c r="F60" s="2504" t="str">
        <f>INDEX(PT_DIFFERENTIATION_VTAR,MATCH(A60,PT_DIFFERENTIATION_VTAR_ID,0))</f>
        <v>Тариф на подключение (технологическое присоединение) к централизованной системе холодного водоснабжения</v>
      </c>
      <c r="G60" s="2550" t="str">
        <f>INDEX(PT_DIFFERENTIATION_NTAR,MATCH(B60,PT_DIFFERENTIATION_NTAR_ID,0))</f>
        <v/>
      </c>
      <c r="H60" s="2090"/>
      <c r="I60" s="1966"/>
      <c r="J60" s="2000"/>
      <c r="K60" s="2093"/>
      <c r="L60" s="2090" t="s">
        <v>412</v>
      </c>
      <c r="M60" s="2298"/>
      <c r="N60" s="556"/>
      <c r="O60" s="1851"/>
      <c r="P60" s="1851"/>
    </row>
    <row s="16676" customFormat="1" customHeight="1" ht="18.75" hidden="1">
      <c r="A61" s="2007"/>
      <c r="B61" s="2007"/>
      <c r="C61" s="591" t="s">
        <v>1167</v>
      </c>
      <c r="D61" s="2595"/>
      <c r="E61" s="2338"/>
      <c r="F61" s="2504"/>
      <c r="G61" s="2550"/>
      <c r="H61" s="1727"/>
      <c r="I61" s="873" t="s">
        <v>1168</v>
      </c>
      <c r="J61" s="793"/>
      <c r="K61" s="1727"/>
      <c r="L61" s="436"/>
      <c r="M61" s="2298"/>
      <c r="N61" s="556"/>
      <c r="O61" s="1851"/>
      <c r="P61" s="1851"/>
    </row>
    <row s="16676" customFormat="1" customHeight="1" ht="0.75" hidden="1">
      <c r="A62" s="2007"/>
      <c r="B62" s="2007"/>
      <c r="C62" s="591" t="s">
        <v>1173</v>
      </c>
      <c r="D62" s="2595"/>
      <c r="E62" s="2338"/>
      <c r="F62" s="2504"/>
      <c r="G62" s="622"/>
      <c r="H62" s="1727"/>
      <c r="I62" s="873"/>
      <c r="J62" s="793"/>
      <c r="K62" s="1727"/>
      <c r="L62" s="436"/>
      <c r="M62" s="2298"/>
      <c r="N62" s="556"/>
      <c r="O62" s="1851"/>
      <c r="P62" s="1851"/>
    </row>
    <row s="16676" customFormat="1" customHeight="1" ht="18.75">
      <c r="A63" s="2007" t="s">
        <v>301</v>
      </c>
      <c r="B63" s="2007" t="s">
        <v>302</v>
      </c>
      <c r="C63" s="591"/>
      <c r="D63" s="2595"/>
      <c r="E63" s="2338"/>
      <c r="F63" s="2504" t="str">
        <f>INDEX(PT_DIFFERENTIATION_VTAR,MATCH(A63,PT_DIFFERENTIATION_VTAR_ID,0))</f>
        <v>Тариф на горячую воду (горячее водоснабжение)</v>
      </c>
      <c r="G63" s="2550" t="str">
        <f>INDEX(PT_DIFFERENTIATION_NTAR,MATCH(B63,PT_DIFFERENTIATION_NTAR_ID,0))</f>
        <v>Горячее водоснажение (закрытая система)</v>
      </c>
      <c r="H63" s="2090"/>
      <c r="I63" s="7461">
        <v>45292.61707175926</v>
      </c>
      <c r="J63" s="7462">
        <v>47118.61740740741</v>
      </c>
      <c r="K63" s="2093" t="s">
        <v>1174</v>
      </c>
      <c r="L63" s="2090" t="s">
        <v>412</v>
      </c>
      <c r="M63" s="2298"/>
      <c r="N63" s="556"/>
      <c r="O63" s="1851"/>
      <c r="P63" s="1851"/>
    </row>
    <row s="16676" customFormat="1" customHeight="1" ht="18.75">
      <c r="A64" s="2007"/>
      <c r="B64" s="2007"/>
      <c r="C64" s="591" t="s">
        <v>1167</v>
      </c>
      <c r="D64" s="2595"/>
      <c r="E64" s="2338"/>
      <c r="F64" s="2504"/>
      <c r="G64" s="2550"/>
      <c r="H64" s="1727"/>
      <c r="I64" s="873" t="s">
        <v>1168</v>
      </c>
      <c r="J64" s="793"/>
      <c r="K64" s="1727"/>
      <c r="L64" s="436"/>
      <c r="M64" s="2298"/>
      <c r="N64" s="556"/>
      <c r="O64" s="1851"/>
      <c r="P64" s="1851"/>
    </row>
    <row s="16676" customFormat="1" customHeight="1" ht="0.75">
      <c r="A65" s="2007"/>
      <c r="B65" s="2007"/>
      <c r="C65" s="591" t="s">
        <v>1173</v>
      </c>
      <c r="D65" s="2595"/>
      <c r="E65" s="2338"/>
      <c r="F65" s="2504"/>
      <c r="G65" s="622"/>
      <c r="H65" s="1727"/>
      <c r="I65" s="873"/>
      <c r="J65" s="793"/>
      <c r="K65" s="1727"/>
      <c r="L65" s="436"/>
      <c r="M65" s="2298"/>
      <c r="N65" s="556"/>
      <c r="O65" s="1851"/>
      <c r="P65" s="1851"/>
    </row>
    <row s="16676" customFormat="1" customHeight="1" ht="18.75" hidden="1">
      <c r="A66" s="2007" t="s">
        <v>361</v>
      </c>
      <c r="B66" s="2007" t="s">
        <v>362</v>
      </c>
      <c r="C66" s="591"/>
      <c r="D66" s="2595"/>
      <c r="E66" s="2338"/>
      <c r="F66" s="2504" t="str">
        <f>INDEX(PT_DIFFERENTIATION_VTAR,MATCH(A66,PT_DIFFERENTIATION_VTAR_ID,0))</f>
        <v>Тариф на транспортировку горячей воды</v>
      </c>
      <c r="G66" s="2550" t="str">
        <f>INDEX(PT_DIFFERENTIATION_NTAR,MATCH(B66,PT_DIFFERENTIATION_NTAR_ID,0))</f>
        <v/>
      </c>
      <c r="H66" s="2090"/>
      <c r="I66" s="1966"/>
      <c r="J66" s="2000"/>
      <c r="K66" s="2093"/>
      <c r="L66" s="2090" t="s">
        <v>412</v>
      </c>
      <c r="M66" s="2298"/>
      <c r="N66" s="556"/>
      <c r="O66" s="1851"/>
      <c r="P66" s="1851"/>
    </row>
    <row s="16676" customFormat="1" customHeight="1" ht="18.75" hidden="1">
      <c r="A67" s="2007"/>
      <c r="B67" s="2007"/>
      <c r="C67" s="591" t="s">
        <v>1167</v>
      </c>
      <c r="D67" s="2595"/>
      <c r="E67" s="2338"/>
      <c r="F67" s="2504"/>
      <c r="G67" s="2550"/>
      <c r="H67" s="1727"/>
      <c r="I67" s="873" t="s">
        <v>1168</v>
      </c>
      <c r="J67" s="793"/>
      <c r="K67" s="1727"/>
      <c r="L67" s="436"/>
      <c r="M67" s="2298"/>
      <c r="N67" s="556"/>
      <c r="O67" s="1851"/>
      <c r="P67" s="1851"/>
    </row>
    <row s="16676" customFormat="1" customHeight="1" ht="0.75" hidden="1">
      <c r="A68" s="2007"/>
      <c r="B68" s="2007"/>
      <c r="C68" s="591" t="s">
        <v>1173</v>
      </c>
      <c r="D68" s="2595"/>
      <c r="E68" s="2338"/>
      <c r="F68" s="2504"/>
      <c r="G68" s="622"/>
      <c r="H68" s="1727"/>
      <c r="I68" s="873"/>
      <c r="J68" s="793"/>
      <c r="K68" s="1727"/>
      <c r="L68" s="436"/>
      <c r="M68" s="2298"/>
      <c r="N68" s="556"/>
      <c r="O68" s="1851"/>
      <c r="P68" s="1851"/>
    </row>
    <row s="16676" customFormat="1" customHeight="1" ht="18.75" hidden="1">
      <c r="A69" s="2007" t="s">
        <v>366</v>
      </c>
      <c r="B69" s="2007" t="s">
        <v>367</v>
      </c>
      <c r="C69" s="591"/>
      <c r="D69" s="2595"/>
      <c r="E69" s="2338"/>
      <c r="F69" s="2504" t="str">
        <f>INDEX(PT_DIFFERENTIATION_VTAR,MATCH(A69,PT_DIFFERENTIATION_VTAR_ID,0))</f>
        <v>Тариф на подключение (технологическое присоединение) к централизованной системе горячего водоснабжения</v>
      </c>
      <c r="G69" s="2550" t="str">
        <f>INDEX(PT_DIFFERENTIATION_NTAR,MATCH(B69,PT_DIFFERENTIATION_NTAR_ID,0))</f>
        <v/>
      </c>
      <c r="H69" s="2090"/>
      <c r="I69" s="1966"/>
      <c r="J69" s="2000"/>
      <c r="K69" s="2093"/>
      <c r="L69" s="2090" t="s">
        <v>412</v>
      </c>
      <c r="M69" s="2298"/>
      <c r="N69" s="556"/>
      <c r="O69" s="1851"/>
      <c r="P69" s="1851"/>
    </row>
    <row s="16676" customFormat="1" customHeight="1" ht="18.75" hidden="1">
      <c r="A70" s="2007"/>
      <c r="B70" s="2007"/>
      <c r="C70" s="591" t="s">
        <v>1167</v>
      </c>
      <c r="D70" s="2595"/>
      <c r="E70" s="2338"/>
      <c r="F70" s="2504"/>
      <c r="G70" s="2550"/>
      <c r="H70" s="1727"/>
      <c r="I70" s="873" t="s">
        <v>1168</v>
      </c>
      <c r="J70" s="793"/>
      <c r="K70" s="1727"/>
      <c r="L70" s="436"/>
      <c r="M70" s="2298"/>
      <c r="N70" s="556"/>
      <c r="O70" s="1851"/>
      <c r="P70" s="1851"/>
    </row>
    <row s="16676" customFormat="1" customHeight="1" ht="0.75" hidden="1">
      <c r="A71" s="2007"/>
      <c r="B71" s="2007"/>
      <c r="C71" s="591" t="s">
        <v>1173</v>
      </c>
      <c r="D71" s="2595"/>
      <c r="E71" s="2338"/>
      <c r="F71" s="2504"/>
      <c r="G71" s="622"/>
      <c r="H71" s="1727"/>
      <c r="I71" s="873"/>
      <c r="J71" s="793"/>
      <c r="K71" s="1727"/>
      <c r="L71" s="436"/>
      <c r="M71" s="2298"/>
      <c r="N71" s="556"/>
      <c r="O71" s="1851"/>
      <c r="P71" s="1851"/>
    </row>
    <row s="16676" customFormat="1" customHeight="1" ht="18.75" hidden="1">
      <c r="A72" s="2007" t="s">
        <v>371</v>
      </c>
      <c r="B72" s="2007" t="s">
        <v>372</v>
      </c>
      <c r="C72" s="591"/>
      <c r="D72" s="2595"/>
      <c r="E72" s="2338"/>
      <c r="F72" s="2504" t="str">
        <f>INDEX(PT_DIFFERENTIATION_VTAR,MATCH(A72,PT_DIFFERENTIATION_VTAR_ID,0))</f>
        <v>Тариф на водоотведение</v>
      </c>
      <c r="G72" s="2550" t="str">
        <f>INDEX(PT_DIFFERENTIATION_NTAR,MATCH(B72,PT_DIFFERENTIATION_NTAR_ID,0))</f>
        <v/>
      </c>
      <c r="H72" s="2090"/>
      <c r="I72" s="1966"/>
      <c r="J72" s="2000"/>
      <c r="K72" s="2093"/>
      <c r="L72" s="2090" t="s">
        <v>412</v>
      </c>
      <c r="M72" s="2298"/>
      <c r="N72" s="556"/>
      <c r="O72" s="1851"/>
      <c r="P72" s="1851"/>
    </row>
    <row s="16676" customFormat="1" customHeight="1" ht="18.75" hidden="1">
      <c r="A73" s="2007"/>
      <c r="B73" s="2007"/>
      <c r="C73" s="591" t="s">
        <v>1167</v>
      </c>
      <c r="D73" s="2595"/>
      <c r="E73" s="2338"/>
      <c r="F73" s="2504"/>
      <c r="G73" s="2550"/>
      <c r="H73" s="1727"/>
      <c r="I73" s="873" t="s">
        <v>1168</v>
      </c>
      <c r="J73" s="793"/>
      <c r="K73" s="1727"/>
      <c r="L73" s="436"/>
      <c r="M73" s="2298"/>
      <c r="N73" s="556"/>
      <c r="O73" s="1851"/>
      <c r="P73" s="1851"/>
    </row>
    <row s="16676" customFormat="1" customHeight="1" ht="0.75" hidden="1">
      <c r="A74" s="2007"/>
      <c r="B74" s="2007"/>
      <c r="C74" s="591" t="s">
        <v>1173</v>
      </c>
      <c r="D74" s="2595"/>
      <c r="E74" s="2338"/>
      <c r="F74" s="2504"/>
      <c r="G74" s="622"/>
      <c r="H74" s="1727"/>
      <c r="I74" s="873"/>
      <c r="J74" s="793"/>
      <c r="K74" s="1727"/>
      <c r="L74" s="436"/>
      <c r="M74" s="2298"/>
      <c r="N74" s="556"/>
      <c r="O74" s="1851"/>
      <c r="P74" s="1851"/>
    </row>
    <row s="16676" customFormat="1" customHeight="1" ht="18.75" hidden="1">
      <c r="A75" s="2007" t="s">
        <v>376</v>
      </c>
      <c r="B75" s="2007" t="s">
        <v>377</v>
      </c>
      <c r="C75" s="591"/>
      <c r="D75" s="2595"/>
      <c r="E75" s="2338"/>
      <c r="F75" s="2504" t="str">
        <f>INDEX(PT_DIFFERENTIATION_VTAR,MATCH(A75,PT_DIFFERENTIATION_VTAR_ID,0))</f>
        <v>Тариф на транспортировку сточных вод</v>
      </c>
      <c r="G75" s="2550" t="str">
        <f>INDEX(PT_DIFFERENTIATION_NTAR,MATCH(B75,PT_DIFFERENTIATION_NTAR_ID,0))</f>
        <v/>
      </c>
      <c r="H75" s="2090"/>
      <c r="I75" s="1966"/>
      <c r="J75" s="2000"/>
      <c r="K75" s="2093"/>
      <c r="L75" s="2090" t="s">
        <v>412</v>
      </c>
      <c r="M75" s="2298"/>
      <c r="N75" s="556"/>
      <c r="O75" s="1851"/>
      <c r="P75" s="1851"/>
    </row>
    <row s="16676" customFormat="1" customHeight="1" ht="18.75" hidden="1">
      <c r="A76" s="2007"/>
      <c r="B76" s="2007"/>
      <c r="C76" s="591" t="s">
        <v>1167</v>
      </c>
      <c r="D76" s="2595"/>
      <c r="E76" s="2338"/>
      <c r="F76" s="2504"/>
      <c r="G76" s="2550"/>
      <c r="H76" s="1727"/>
      <c r="I76" s="873" t="s">
        <v>1168</v>
      </c>
      <c r="J76" s="793"/>
      <c r="K76" s="1727"/>
      <c r="L76" s="436"/>
      <c r="M76" s="2298"/>
      <c r="N76" s="556"/>
      <c r="O76" s="1851"/>
      <c r="P76" s="1851"/>
    </row>
    <row s="16676" customFormat="1" customHeight="1" ht="0.75" hidden="1">
      <c r="A77" s="2007"/>
      <c r="B77" s="2007"/>
      <c r="C77" s="591" t="s">
        <v>1173</v>
      </c>
      <c r="D77" s="2595"/>
      <c r="E77" s="2338"/>
      <c r="F77" s="2504"/>
      <c r="G77" s="622"/>
      <c r="H77" s="1727"/>
      <c r="I77" s="873"/>
      <c r="J77" s="793"/>
      <c r="K77" s="1727"/>
      <c r="L77" s="436"/>
      <c r="M77" s="2298"/>
      <c r="N77" s="556"/>
      <c r="O77" s="1851"/>
      <c r="P77" s="1851"/>
    </row>
    <row s="16676" customFormat="1" customHeight="1" ht="18.75" hidden="1">
      <c r="A78" s="2007" t="s">
        <v>381</v>
      </c>
      <c r="B78" s="2007" t="s">
        <v>382</v>
      </c>
      <c r="C78" s="591"/>
      <c r="D78" s="2595"/>
      <c r="E78" s="2338"/>
      <c r="F78" s="2504" t="str">
        <f>INDEX(PT_DIFFERENTIATION_VTAR,MATCH(A78,PT_DIFFERENTIATION_VTAR_ID,0))</f>
        <v>Тариф на подключение (технологическое присоединение) к централизованной системе водоотведения</v>
      </c>
      <c r="G78" s="2550" t="str">
        <f>INDEX(PT_DIFFERENTIATION_NTAR,MATCH(B78,PT_DIFFERENTIATION_NTAR_ID,0))</f>
        <v/>
      </c>
      <c r="H78" s="2090"/>
      <c r="I78" s="1966"/>
      <c r="J78" s="2000"/>
      <c r="K78" s="2093"/>
      <c r="L78" s="2090" t="s">
        <v>412</v>
      </c>
      <c r="M78" s="2298"/>
      <c r="N78" s="556"/>
      <c r="O78" s="1851"/>
      <c r="P78" s="1851"/>
    </row>
    <row s="16676" customFormat="1" customHeight="1" ht="18.75" hidden="1">
      <c r="A79" s="2007"/>
      <c r="B79" s="2007"/>
      <c r="C79" s="591" t="s">
        <v>1167</v>
      </c>
      <c r="D79" s="2595"/>
      <c r="E79" s="2338"/>
      <c r="F79" s="2504"/>
      <c r="G79" s="2550"/>
      <c r="H79" s="1727"/>
      <c r="I79" s="873" t="s">
        <v>1168</v>
      </c>
      <c r="J79" s="793"/>
      <c r="K79" s="1727"/>
      <c r="L79" s="436"/>
      <c r="M79" s="2298"/>
      <c r="N79" s="556"/>
      <c r="O79" s="1851"/>
      <c r="P79" s="1851"/>
    </row>
    <row s="16676" customFormat="1" customHeight="1" ht="0.75">
      <c r="A80" s="2007"/>
      <c r="B80" s="2007"/>
      <c r="C80" s="591" t="s">
        <v>1173</v>
      </c>
      <c r="D80" s="2595"/>
      <c r="E80" s="2338"/>
      <c r="F80" s="2504"/>
      <c r="G80" s="622"/>
      <c r="H80" s="1727"/>
      <c r="I80" s="873"/>
      <c r="J80" s="793"/>
      <c r="K80" s="1727"/>
      <c r="L80" s="436"/>
      <c r="M80" s="2298"/>
      <c r="N80" s="556"/>
      <c r="O80" s="1851"/>
      <c r="P80" s="1851"/>
    </row>
    <row customHeight="1" ht="18.75">
      <c r="A81" s="2007"/>
      <c r="B81" s="2007"/>
      <c r="D81" s="598"/>
      <c r="E81" s="370" t="s">
        <v>99</v>
      </c>
      <c r="F81" s="258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587"/>
      <c r="H81" s="2587"/>
      <c r="I81" s="2587"/>
      <c r="J81" s="2587"/>
      <c r="K81" s="2587"/>
      <c r="L81" s="2587"/>
      <c r="M81" s="519"/>
      <c r="N81" s="556"/>
    </row>
    <row customHeight="1" ht="33.75">
      <c r="A82" s="2007"/>
      <c r="B82" s="2007"/>
      <c r="D82" s="598"/>
      <c r="E82" s="621"/>
      <c r="F82" s="420" t="s">
        <v>412</v>
      </c>
      <c r="G82" s="420" t="s">
        <v>412</v>
      </c>
      <c r="H82" s="2349" t="s">
        <v>412</v>
      </c>
      <c r="I82" s="2365"/>
      <c r="J82" s="420" t="s">
        <v>412</v>
      </c>
      <c r="K82" s="420" t="s">
        <v>412</v>
      </c>
      <c r="L82" s="22330" t="s">
        <v>1175</v>
      </c>
      <c r="M82" s="567" t="s">
        <v>1176</v>
      </c>
      <c r="N82" s="556"/>
    </row>
    <row customHeight="1" ht="18.75">
      <c r="A83" s="2007"/>
      <c r="B83" s="2007"/>
      <c r="D83" s="598"/>
      <c r="E83" s="370" t="s">
        <v>86</v>
      </c>
      <c r="F83" s="2587" t="s">
        <v>1177</v>
      </c>
      <c r="G83" s="2587"/>
      <c r="H83" s="2587"/>
      <c r="I83" s="2587"/>
      <c r="J83" s="2587"/>
      <c r="K83" s="2587"/>
      <c r="L83" s="2587"/>
      <c r="M83" s="519"/>
      <c r="N83" s="556"/>
    </row>
    <row s="16676" customFormat="1" customHeight="1" ht="60.75" hidden="1">
      <c r="A84" s="2007" t="s">
        <v>205</v>
      </c>
      <c r="B84" s="2007" t="s">
        <v>206</v>
      </c>
      <c r="C84" s="591"/>
      <c r="D84" s="2595"/>
      <c r="E84" s="2338"/>
      <c r="F84" s="2504"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550" t="str">
        <f>INDEX(PT_DIFFERENTIATION_NTAR,MATCH(B84,PT_DIFFERENTIATION_NTAR_ID,0))</f>
        <v/>
      </c>
      <c r="H84" s="2090"/>
      <c r="I84" s="1966"/>
      <c r="J84" s="2000"/>
      <c r="K84" s="2005"/>
      <c r="L84" s="2090" t="s">
        <v>412</v>
      </c>
      <c r="M84" s="22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556"/>
      <c r="O84" s="1851"/>
      <c r="P84" s="1851"/>
    </row>
    <row s="16676" customFormat="1" customHeight="1" ht="18.75" hidden="1">
      <c r="A85" s="2007"/>
      <c r="B85" s="2007"/>
      <c r="C85" s="591" t="s">
        <v>1169</v>
      </c>
      <c r="D85" s="2595"/>
      <c r="E85" s="2338"/>
      <c r="F85" s="2504"/>
      <c r="G85" s="2550"/>
      <c r="H85" s="1727"/>
      <c r="I85" s="873" t="s">
        <v>1168</v>
      </c>
      <c r="J85" s="793"/>
      <c r="K85" s="1727"/>
      <c r="L85" s="436"/>
      <c r="M85" s="2298"/>
      <c r="N85" s="556"/>
      <c r="O85" s="1851"/>
      <c r="P85" s="1851"/>
    </row>
    <row s="16676" customFormat="1" customHeight="1" ht="0.75" hidden="1">
      <c r="A86" s="2007"/>
      <c r="B86" s="2007"/>
      <c r="C86" s="591" t="s">
        <v>1178</v>
      </c>
      <c r="D86" s="2595"/>
      <c r="E86" s="2338"/>
      <c r="F86" s="2504"/>
      <c r="G86" s="622"/>
      <c r="H86" s="1727"/>
      <c r="I86" s="873"/>
      <c r="J86" s="793"/>
      <c r="K86" s="1727"/>
      <c r="L86" s="436"/>
      <c r="M86" s="2298"/>
      <c r="N86" s="556"/>
      <c r="O86" s="1851"/>
      <c r="P86" s="1851"/>
    </row>
    <row s="16676" customFormat="1" customHeight="1" ht="45" hidden="1">
      <c r="A87" s="2007" t="s">
        <v>211</v>
      </c>
      <c r="B87" s="2007" t="s">
        <v>212</v>
      </c>
      <c r="C87" s="591"/>
      <c r="D87" s="2595"/>
      <c r="E87" s="2338"/>
      <c r="F87" s="2504"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550" t="str">
        <f>INDEX(PT_DIFFERENTIATION_NTAR,MATCH(B87,PT_DIFFERENTIATION_NTAR_ID,0))</f>
        <v/>
      </c>
      <c r="H87" s="2090"/>
      <c r="I87" s="1966"/>
      <c r="J87" s="2000"/>
      <c r="K87" s="2005"/>
      <c r="L87" s="2090" t="s">
        <v>412</v>
      </c>
      <c r="M87" s="2299"/>
      <c r="N87" s="556"/>
      <c r="O87" s="1851"/>
      <c r="P87" s="1851"/>
    </row>
    <row s="16676" customFormat="1" customHeight="1" ht="18.75" hidden="1">
      <c r="A88" s="2007"/>
      <c r="B88" s="2007"/>
      <c r="C88" s="591" t="s">
        <v>1169</v>
      </c>
      <c r="D88" s="2595"/>
      <c r="E88" s="2338"/>
      <c r="F88" s="2504"/>
      <c r="G88" s="2550"/>
      <c r="H88" s="1727"/>
      <c r="I88" s="873" t="s">
        <v>1168</v>
      </c>
      <c r="J88" s="793"/>
      <c r="K88" s="1727"/>
      <c r="L88" s="436"/>
      <c r="M88" s="2089"/>
      <c r="N88" s="556"/>
      <c r="O88" s="1851"/>
      <c r="P88" s="1851"/>
    </row>
    <row s="16676" customFormat="1" customHeight="1" ht="0.75" hidden="1">
      <c r="A89" s="2007"/>
      <c r="B89" s="2007"/>
      <c r="C89" s="591" t="s">
        <v>1178</v>
      </c>
      <c r="D89" s="2595"/>
      <c r="E89" s="2338"/>
      <c r="F89" s="2504"/>
      <c r="G89" s="622"/>
      <c r="H89" s="1727"/>
      <c r="I89" s="873"/>
      <c r="J89" s="793"/>
      <c r="K89" s="1727"/>
      <c r="L89" s="436"/>
      <c r="M89" s="563"/>
      <c r="N89" s="556"/>
      <c r="O89" s="1851"/>
      <c r="P89" s="1851"/>
    </row>
    <row s="16676" customFormat="1" customHeight="1" ht="45" hidden="1">
      <c r="A90" s="2007" t="s">
        <v>217</v>
      </c>
      <c r="B90" s="2007" t="s">
        <v>218</v>
      </c>
      <c r="C90" s="591"/>
      <c r="D90" s="2595"/>
      <c r="E90" s="2338"/>
      <c r="F90" s="2504"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550" t="str">
        <f>INDEX(PT_DIFFERENTIATION_NTAR,MATCH(B90,PT_DIFFERENTIATION_NTAR_ID,0))</f>
        <v/>
      </c>
      <c r="H90" s="2090"/>
      <c r="I90" s="1966"/>
      <c r="J90" s="2000"/>
      <c r="K90" s="2005"/>
      <c r="L90" s="2090" t="s">
        <v>412</v>
      </c>
      <c r="M90" s="563"/>
      <c r="N90" s="556"/>
      <c r="O90" s="1851"/>
      <c r="P90" s="1851"/>
    </row>
    <row s="16676" customFormat="1" customHeight="1" ht="18.75" hidden="1">
      <c r="A91" s="2007"/>
      <c r="B91" s="2007"/>
      <c r="C91" s="591" t="s">
        <v>1169</v>
      </c>
      <c r="D91" s="2595"/>
      <c r="E91" s="2338"/>
      <c r="F91" s="2504"/>
      <c r="G91" s="2550"/>
      <c r="H91" s="1727"/>
      <c r="I91" s="873" t="s">
        <v>1168</v>
      </c>
      <c r="J91" s="793"/>
      <c r="K91" s="1727"/>
      <c r="L91" s="436"/>
      <c r="M91" s="563"/>
      <c r="N91" s="556"/>
      <c r="O91" s="1851"/>
      <c r="P91" s="1851"/>
    </row>
    <row s="16676" customFormat="1" customHeight="1" ht="0.75" hidden="1">
      <c r="A92" s="2007"/>
      <c r="B92" s="2007"/>
      <c r="C92" s="591" t="s">
        <v>1178</v>
      </c>
      <c r="D92" s="2595"/>
      <c r="E92" s="2338"/>
      <c r="F92" s="2504"/>
      <c r="G92" s="622"/>
      <c r="H92" s="1727"/>
      <c r="I92" s="873"/>
      <c r="J92" s="793"/>
      <c r="K92" s="1727"/>
      <c r="L92" s="436"/>
      <c r="M92" s="563"/>
      <c r="N92" s="556"/>
      <c r="O92" s="1851"/>
      <c r="P92" s="1851"/>
    </row>
    <row s="16676" customFormat="1" customHeight="1" ht="45" hidden="1">
      <c r="A93" s="2007" t="s">
        <v>223</v>
      </c>
      <c r="B93" s="2007" t="s">
        <v>224</v>
      </c>
      <c r="C93" s="591"/>
      <c r="D93" s="2595"/>
      <c r="E93" s="2338"/>
      <c r="F93" s="2504"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550" t="str">
        <f>INDEX(PT_DIFFERENTIATION_NTAR,MATCH(B93,PT_DIFFERENTIATION_NTAR_ID,0))</f>
        <v/>
      </c>
      <c r="H93" s="2090"/>
      <c r="I93" s="1966"/>
      <c r="J93" s="2000"/>
      <c r="K93" s="2005"/>
      <c r="L93" s="2090" t="s">
        <v>412</v>
      </c>
      <c r="M93" s="563"/>
      <c r="N93" s="556"/>
      <c r="O93" s="1851"/>
      <c r="P93" s="1851"/>
    </row>
    <row s="16676" customFormat="1" customHeight="1" ht="18.75" hidden="1">
      <c r="A94" s="2007"/>
      <c r="B94" s="2007"/>
      <c r="C94" s="591" t="s">
        <v>1169</v>
      </c>
      <c r="D94" s="2595"/>
      <c r="E94" s="2338"/>
      <c r="F94" s="2504"/>
      <c r="G94" s="2550"/>
      <c r="H94" s="1727"/>
      <c r="I94" s="873" t="s">
        <v>1168</v>
      </c>
      <c r="J94" s="793"/>
      <c r="K94" s="1727"/>
      <c r="L94" s="436"/>
      <c r="M94" s="563"/>
      <c r="N94" s="556"/>
      <c r="O94" s="1851"/>
      <c r="P94" s="1851"/>
    </row>
    <row s="16676" customFormat="1" customHeight="1" ht="0.75" hidden="1">
      <c r="A95" s="2007"/>
      <c r="B95" s="2007"/>
      <c r="C95" s="591" t="s">
        <v>1178</v>
      </c>
      <c r="D95" s="2595"/>
      <c r="E95" s="2338"/>
      <c r="F95" s="2504"/>
      <c r="G95" s="622"/>
      <c r="H95" s="1727"/>
      <c r="I95" s="873"/>
      <c r="J95" s="793"/>
      <c r="K95" s="1727"/>
      <c r="L95" s="436"/>
      <c r="M95" s="563"/>
      <c r="N95" s="556"/>
      <c r="O95" s="1851"/>
      <c r="P95" s="1851"/>
    </row>
    <row s="16676" customFormat="1" customHeight="1" ht="18.75" hidden="1">
      <c r="A96" s="2007" t="s">
        <v>229</v>
      </c>
      <c r="B96" s="2007" t="s">
        <v>230</v>
      </c>
      <c r="C96" s="591"/>
      <c r="D96" s="2595"/>
      <c r="E96" s="2338"/>
      <c r="F96" s="2504" t="str">
        <f>INDEX(PT_DIFFERENTIATION_VTAR,MATCH(A96,PT_DIFFERENTIATION_VTAR_ID,0))</f>
        <v>Тарифы на услуги по передаче тепловой энергии</v>
      </c>
      <c r="G96" s="2550" t="str">
        <f>INDEX(PT_DIFFERENTIATION_NTAR,MATCH(B96,PT_DIFFERENTIATION_NTAR_ID,0))</f>
        <v/>
      </c>
      <c r="H96" s="2090"/>
      <c r="I96" s="1966"/>
      <c r="J96" s="2000"/>
      <c r="K96" s="2005"/>
      <c r="L96" s="2090" t="s">
        <v>412</v>
      </c>
      <c r="M96" s="563"/>
      <c r="N96" s="556"/>
      <c r="O96" s="1851"/>
      <c r="P96" s="1851"/>
    </row>
    <row s="16676" customFormat="1" customHeight="1" ht="18.75" hidden="1">
      <c r="A97" s="2007"/>
      <c r="B97" s="2007"/>
      <c r="C97" s="591" t="s">
        <v>1169</v>
      </c>
      <c r="D97" s="2595"/>
      <c r="E97" s="2338"/>
      <c r="F97" s="2504"/>
      <c r="G97" s="2550"/>
      <c r="H97" s="1727"/>
      <c r="I97" s="873" t="s">
        <v>1168</v>
      </c>
      <c r="J97" s="793"/>
      <c r="K97" s="1727"/>
      <c r="L97" s="436"/>
      <c r="M97" s="563"/>
      <c r="N97" s="556"/>
      <c r="O97" s="1851"/>
      <c r="P97" s="1851"/>
    </row>
    <row s="16676" customFormat="1" customHeight="1" ht="0.75" hidden="1">
      <c r="A98" s="2007"/>
      <c r="B98" s="2007"/>
      <c r="C98" s="591" t="s">
        <v>1178</v>
      </c>
      <c r="D98" s="2595"/>
      <c r="E98" s="2338"/>
      <c r="F98" s="2504"/>
      <c r="G98" s="622"/>
      <c r="H98" s="1727"/>
      <c r="I98" s="873"/>
      <c r="J98" s="793"/>
      <c r="K98" s="1727"/>
      <c r="L98" s="436"/>
      <c r="M98" s="563"/>
      <c r="N98" s="556"/>
      <c r="O98" s="1851"/>
      <c r="P98" s="1851"/>
    </row>
    <row s="16676" customFormat="1" customHeight="1" ht="18.75" hidden="1">
      <c r="A99" s="2007" t="s">
        <v>235</v>
      </c>
      <c r="B99" s="2007" t="s">
        <v>236</v>
      </c>
      <c r="C99" s="591"/>
      <c r="D99" s="2595"/>
      <c r="E99" s="2338"/>
      <c r="F99" s="2504" t="str">
        <f>INDEX(PT_DIFFERENTIATION_VTAR,MATCH(A99,PT_DIFFERENTIATION_VTAR_ID,0))</f>
        <v>Тарифы на услуги по передаче теплоносителя</v>
      </c>
      <c r="G99" s="2550" t="str">
        <f>INDEX(PT_DIFFERENTIATION_NTAR,MATCH(B99,PT_DIFFERENTIATION_NTAR_ID,0))</f>
        <v/>
      </c>
      <c r="H99" s="2090"/>
      <c r="I99" s="1966"/>
      <c r="J99" s="2000"/>
      <c r="K99" s="2005"/>
      <c r="L99" s="2090" t="s">
        <v>412</v>
      </c>
      <c r="M99" s="563"/>
      <c r="N99" s="556"/>
      <c r="O99" s="1851"/>
      <c r="P99" s="1851"/>
    </row>
    <row s="16676" customFormat="1" customHeight="1" ht="18.75" hidden="1">
      <c r="A100" s="2007"/>
      <c r="B100" s="2007"/>
      <c r="C100" s="591" t="s">
        <v>1169</v>
      </c>
      <c r="D100" s="2595"/>
      <c r="E100" s="2338"/>
      <c r="F100" s="2504"/>
      <c r="G100" s="2550"/>
      <c r="H100" s="1727"/>
      <c r="I100" s="873" t="s">
        <v>1168</v>
      </c>
      <c r="J100" s="793"/>
      <c r="K100" s="1727"/>
      <c r="L100" s="436"/>
      <c r="M100" s="563"/>
      <c r="N100" s="556"/>
      <c r="O100" s="1851"/>
      <c r="P100" s="1851"/>
    </row>
    <row s="16676" customFormat="1" customHeight="1" ht="0.75" hidden="1">
      <c r="A101" s="2007"/>
      <c r="B101" s="2007"/>
      <c r="C101" s="591" t="s">
        <v>1178</v>
      </c>
      <c r="D101" s="2595"/>
      <c r="E101" s="2338"/>
      <c r="F101" s="2504"/>
      <c r="G101" s="622"/>
      <c r="H101" s="1727"/>
      <c r="I101" s="873"/>
      <c r="J101" s="793"/>
      <c r="K101" s="1727"/>
      <c r="L101" s="436"/>
      <c r="M101" s="563"/>
      <c r="N101" s="556"/>
      <c r="O101" s="1851"/>
      <c r="P101" s="1851"/>
    </row>
    <row s="16676" customFormat="1" customHeight="1" ht="18.75" hidden="1">
      <c r="A102" s="2007" t="s">
        <v>241</v>
      </c>
      <c r="B102" s="2007" t="s">
        <v>242</v>
      </c>
      <c r="C102" s="591"/>
      <c r="D102" s="2595"/>
      <c r="E102" s="2338"/>
      <c r="F102" s="2504"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550" t="str">
        <f>INDEX(PT_DIFFERENTIATION_NTAR,MATCH(B102,PT_DIFFERENTIATION_NTAR_ID,0))</f>
        <v/>
      </c>
      <c r="H102" s="2090"/>
      <c r="I102" s="1966"/>
      <c r="J102" s="2000"/>
      <c r="K102" s="2005"/>
      <c r="L102" s="2090" t="s">
        <v>412</v>
      </c>
      <c r="M102" s="563"/>
      <c r="N102" s="556"/>
      <c r="O102" s="1851"/>
      <c r="P102" s="1851"/>
    </row>
    <row s="16676" customFormat="1" customHeight="1" ht="18.75" hidden="1">
      <c r="A103" s="2007"/>
      <c r="B103" s="2007"/>
      <c r="C103" s="591" t="s">
        <v>1169</v>
      </c>
      <c r="D103" s="2595"/>
      <c r="E103" s="2338"/>
      <c r="F103" s="2504"/>
      <c r="G103" s="2550"/>
      <c r="H103" s="1727"/>
      <c r="I103" s="873" t="s">
        <v>1168</v>
      </c>
      <c r="J103" s="793"/>
      <c r="K103" s="1727"/>
      <c r="L103" s="436"/>
      <c r="M103" s="563"/>
      <c r="N103" s="556"/>
      <c r="O103" s="1851"/>
      <c r="P103" s="1851"/>
    </row>
    <row s="16676" customFormat="1" customHeight="1" ht="0.75" hidden="1">
      <c r="A104" s="2007"/>
      <c r="B104" s="2007"/>
      <c r="C104" s="591" t="s">
        <v>1178</v>
      </c>
      <c r="D104" s="2595"/>
      <c r="E104" s="2338"/>
      <c r="F104" s="2504"/>
      <c r="G104" s="622"/>
      <c r="H104" s="1727"/>
      <c r="I104" s="873"/>
      <c r="J104" s="793"/>
      <c r="K104" s="1727"/>
      <c r="L104" s="436"/>
      <c r="M104" s="563"/>
      <c r="N104" s="556"/>
      <c r="O104" s="1851"/>
      <c r="P104" s="1851"/>
    </row>
    <row s="16676" customFormat="1" customHeight="1" ht="18.75" hidden="1">
      <c r="A105" s="2007" t="s">
        <v>247</v>
      </c>
      <c r="B105" s="2007" t="s">
        <v>248</v>
      </c>
      <c r="C105" s="591"/>
      <c r="D105" s="2595"/>
      <c r="E105" s="2338"/>
      <c r="F105" s="2504" t="str">
        <f>INDEX(PT_DIFFERENTIATION_VTAR,MATCH(A105,PT_DIFFERENTIATION_VTAR_ID,0))</f>
        <v>Плата за подключение (технологическое присоединение) к системе теплоснабжения</v>
      </c>
      <c r="G105" s="2550" t="str">
        <f>INDEX(PT_DIFFERENTIATION_NTAR,MATCH(B105,PT_DIFFERENTIATION_NTAR_ID,0))</f>
        <v/>
      </c>
      <c r="H105" s="2090"/>
      <c r="I105" s="1966"/>
      <c r="J105" s="2000"/>
      <c r="K105" s="2005"/>
      <c r="L105" s="2090" t="s">
        <v>412</v>
      </c>
      <c r="M105" s="563"/>
      <c r="N105" s="556"/>
      <c r="O105" s="1851"/>
      <c r="P105" s="1851"/>
    </row>
    <row s="16676" customFormat="1" customHeight="1" ht="18.75" hidden="1">
      <c r="A106" s="2007"/>
      <c r="B106" s="2007"/>
      <c r="C106" s="591" t="s">
        <v>1169</v>
      </c>
      <c r="D106" s="2595"/>
      <c r="E106" s="2338"/>
      <c r="F106" s="2504"/>
      <c r="G106" s="2550"/>
      <c r="H106" s="1727"/>
      <c r="I106" s="873" t="s">
        <v>1168</v>
      </c>
      <c r="J106" s="793"/>
      <c r="K106" s="1727"/>
      <c r="L106" s="436"/>
      <c r="M106" s="563"/>
      <c r="N106" s="556"/>
      <c r="O106" s="1851"/>
      <c r="P106" s="1851"/>
    </row>
    <row s="16676" customFormat="1" customHeight="1" ht="0.75" hidden="1">
      <c r="A107" s="2007"/>
      <c r="B107" s="2007"/>
      <c r="C107" s="591" t="s">
        <v>1178</v>
      </c>
      <c r="D107" s="2595"/>
      <c r="E107" s="2338"/>
      <c r="F107" s="2504"/>
      <c r="G107" s="622"/>
      <c r="H107" s="1727"/>
      <c r="I107" s="873"/>
      <c r="J107" s="793"/>
      <c r="K107" s="1727"/>
      <c r="L107" s="436"/>
      <c r="M107" s="563"/>
      <c r="N107" s="556"/>
      <c r="O107" s="1851"/>
      <c r="P107" s="1851"/>
    </row>
    <row s="16676" customFormat="1" customHeight="1" ht="18.75" hidden="1">
      <c r="A108" s="2007" t="s">
        <v>273</v>
      </c>
      <c r="B108" s="2007" t="s">
        <v>274</v>
      </c>
      <c r="C108" s="591"/>
      <c r="D108" s="2595"/>
      <c r="E108" s="2338"/>
      <c r="F108" s="2504" t="str">
        <f>INDEX(PT_DIFFERENTIATION_VTAR,MATCH(A108,PT_DIFFERENTIATION_VTAR_ID,0))</f>
        <v>Тариф на питьевую воду (питьевое водоснабжение)</v>
      </c>
      <c r="G108" s="2550" t="str">
        <f>INDEX(PT_DIFFERENTIATION_NTAR,MATCH(B108,PT_DIFFERENTIATION_NTAR_ID,0))</f>
        <v/>
      </c>
      <c r="H108" s="2090"/>
      <c r="I108" s="1966"/>
      <c r="J108" s="2000"/>
      <c r="K108" s="2005"/>
      <c r="L108" s="2090" t="s">
        <v>412</v>
      </c>
      <c r="M108" s="563"/>
      <c r="N108" s="556"/>
      <c r="O108" s="1851"/>
      <c r="P108" s="1851"/>
    </row>
    <row s="16676" customFormat="1" customHeight="1" ht="18.75" hidden="1">
      <c r="A109" s="2007"/>
      <c r="B109" s="2007"/>
      <c r="C109" s="591" t="s">
        <v>1169</v>
      </c>
      <c r="D109" s="2595"/>
      <c r="E109" s="2338"/>
      <c r="F109" s="2504"/>
      <c r="G109" s="2550"/>
      <c r="H109" s="1727"/>
      <c r="I109" s="873" t="s">
        <v>1168</v>
      </c>
      <c r="J109" s="793"/>
      <c r="K109" s="1727"/>
      <c r="L109" s="436"/>
      <c r="M109" s="563"/>
      <c r="N109" s="556"/>
      <c r="O109" s="1851"/>
      <c r="P109" s="1851"/>
    </row>
    <row s="16676" customFormat="1" customHeight="1" ht="0.75" hidden="1">
      <c r="A110" s="2007"/>
      <c r="B110" s="2007"/>
      <c r="C110" s="591" t="s">
        <v>1178</v>
      </c>
      <c r="D110" s="2595"/>
      <c r="E110" s="2338"/>
      <c r="F110" s="2504"/>
      <c r="G110" s="622"/>
      <c r="H110" s="1727"/>
      <c r="I110" s="873"/>
      <c r="J110" s="793"/>
      <c r="K110" s="1727"/>
      <c r="L110" s="436"/>
      <c r="M110" s="563"/>
      <c r="N110" s="556"/>
      <c r="O110" s="1851"/>
      <c r="P110" s="1851"/>
    </row>
    <row s="16676" customFormat="1" customHeight="1" ht="18.75" hidden="1">
      <c r="A111" s="2007" t="s">
        <v>278</v>
      </c>
      <c r="B111" s="2007" t="s">
        <v>279</v>
      </c>
      <c r="C111" s="591"/>
      <c r="D111" s="2595"/>
      <c r="E111" s="2338"/>
      <c r="F111" s="2504" t="str">
        <f>INDEX(PT_DIFFERENTIATION_VTAR,MATCH(A111,PT_DIFFERENTIATION_VTAR_ID,0))</f>
        <v>Тариф на техническую воду</v>
      </c>
      <c r="G111" s="2550" t="str">
        <f>INDEX(PT_DIFFERENTIATION_NTAR,MATCH(B111,PT_DIFFERENTIATION_NTAR_ID,0))</f>
        <v/>
      </c>
      <c r="H111" s="2090"/>
      <c r="I111" s="1966"/>
      <c r="J111" s="2000"/>
      <c r="K111" s="2005"/>
      <c r="L111" s="2090" t="s">
        <v>412</v>
      </c>
      <c r="M111" s="563"/>
      <c r="N111" s="556"/>
      <c r="O111" s="1851"/>
      <c r="P111" s="1851"/>
    </row>
    <row s="16676" customFormat="1" customHeight="1" ht="18.75" hidden="1">
      <c r="A112" s="2007"/>
      <c r="B112" s="2007"/>
      <c r="C112" s="591" t="s">
        <v>1169</v>
      </c>
      <c r="D112" s="2595"/>
      <c r="E112" s="2338"/>
      <c r="F112" s="2504"/>
      <c r="G112" s="2550"/>
      <c r="H112" s="1727"/>
      <c r="I112" s="873" t="s">
        <v>1168</v>
      </c>
      <c r="J112" s="793"/>
      <c r="K112" s="1727"/>
      <c r="L112" s="436"/>
      <c r="M112" s="563"/>
      <c r="N112" s="556"/>
      <c r="O112" s="1851"/>
      <c r="P112" s="1851"/>
    </row>
    <row s="16676" customFormat="1" customHeight="1" ht="0.75" hidden="1">
      <c r="A113" s="2007"/>
      <c r="B113" s="2007"/>
      <c r="C113" s="591" t="s">
        <v>1178</v>
      </c>
      <c r="D113" s="2595"/>
      <c r="E113" s="2338"/>
      <c r="F113" s="2504"/>
      <c r="G113" s="622"/>
      <c r="H113" s="1727"/>
      <c r="I113" s="873"/>
      <c r="J113" s="793"/>
      <c r="K113" s="1727"/>
      <c r="L113" s="436"/>
      <c r="M113" s="563"/>
      <c r="N113" s="556"/>
      <c r="O113" s="1851"/>
      <c r="P113" s="1851"/>
    </row>
    <row s="16676" customFormat="1" customHeight="1" ht="18.75" hidden="1">
      <c r="A114" s="2007" t="s">
        <v>283</v>
      </c>
      <c r="B114" s="2007" t="s">
        <v>284</v>
      </c>
      <c r="C114" s="591"/>
      <c r="D114" s="2595"/>
      <c r="E114" s="2338"/>
      <c r="F114" s="2504" t="str">
        <f>INDEX(PT_DIFFERENTIATION_VTAR,MATCH(A114,PT_DIFFERENTIATION_VTAR_ID,0))</f>
        <v>Тариф на транспортировку воды</v>
      </c>
      <c r="G114" s="2550" t="str">
        <f>INDEX(PT_DIFFERENTIATION_NTAR,MATCH(B114,PT_DIFFERENTIATION_NTAR_ID,0))</f>
        <v/>
      </c>
      <c r="H114" s="2090"/>
      <c r="I114" s="1966"/>
      <c r="J114" s="2000"/>
      <c r="K114" s="2005"/>
      <c r="L114" s="2090" t="s">
        <v>412</v>
      </c>
      <c r="M114" s="563"/>
      <c r="N114" s="556"/>
      <c r="O114" s="1851"/>
      <c r="P114" s="1851"/>
    </row>
    <row s="16676" customFormat="1" customHeight="1" ht="18.75" hidden="1">
      <c r="A115" s="2007"/>
      <c r="B115" s="2007"/>
      <c r="C115" s="591" t="s">
        <v>1169</v>
      </c>
      <c r="D115" s="2595"/>
      <c r="E115" s="2338"/>
      <c r="F115" s="2504"/>
      <c r="G115" s="2550"/>
      <c r="H115" s="1727"/>
      <c r="I115" s="873" t="s">
        <v>1168</v>
      </c>
      <c r="J115" s="793"/>
      <c r="K115" s="1727"/>
      <c r="L115" s="436"/>
      <c r="M115" s="563"/>
      <c r="N115" s="556"/>
      <c r="O115" s="1851"/>
      <c r="P115" s="1851"/>
    </row>
    <row s="16676" customFormat="1" customHeight="1" ht="0.75" hidden="1">
      <c r="A116" s="2007"/>
      <c r="B116" s="2007"/>
      <c r="C116" s="591" t="s">
        <v>1178</v>
      </c>
      <c r="D116" s="2595"/>
      <c r="E116" s="2338"/>
      <c r="F116" s="2504"/>
      <c r="G116" s="622"/>
      <c r="H116" s="1727"/>
      <c r="I116" s="873"/>
      <c r="J116" s="793"/>
      <c r="K116" s="1727"/>
      <c r="L116" s="436"/>
      <c r="M116" s="563"/>
      <c r="N116" s="556"/>
      <c r="O116" s="1851"/>
      <c r="P116" s="1851"/>
    </row>
    <row s="16676" customFormat="1" customHeight="1" ht="18.75" hidden="1">
      <c r="A117" s="2007" t="s">
        <v>288</v>
      </c>
      <c r="B117" s="2007" t="s">
        <v>289</v>
      </c>
      <c r="C117" s="591"/>
      <c r="D117" s="2595"/>
      <c r="E117" s="2338"/>
      <c r="F117" s="2504" t="str">
        <f>INDEX(PT_DIFFERENTIATION_VTAR,MATCH(A117,PT_DIFFERENTIATION_VTAR_ID,0))</f>
        <v>Тариф на подвоз воды</v>
      </c>
      <c r="G117" s="2550" t="str">
        <f>INDEX(PT_DIFFERENTIATION_NTAR,MATCH(B117,PT_DIFFERENTIATION_NTAR_ID,0))</f>
        <v/>
      </c>
      <c r="H117" s="2090"/>
      <c r="I117" s="1966"/>
      <c r="J117" s="2000"/>
      <c r="K117" s="2005"/>
      <c r="L117" s="2090" t="s">
        <v>412</v>
      </c>
      <c r="M117" s="563"/>
      <c r="N117" s="556"/>
      <c r="O117" s="1851"/>
      <c r="P117" s="1851"/>
    </row>
    <row s="16676" customFormat="1" customHeight="1" ht="18.75" hidden="1">
      <c r="A118" s="2007"/>
      <c r="B118" s="2007"/>
      <c r="C118" s="591" t="s">
        <v>1169</v>
      </c>
      <c r="D118" s="2595"/>
      <c r="E118" s="2338"/>
      <c r="F118" s="2504"/>
      <c r="G118" s="2550"/>
      <c r="H118" s="1727"/>
      <c r="I118" s="873" t="s">
        <v>1168</v>
      </c>
      <c r="J118" s="793"/>
      <c r="K118" s="1727"/>
      <c r="L118" s="436"/>
      <c r="M118" s="563"/>
      <c r="N118" s="556"/>
      <c r="O118" s="1851"/>
      <c r="P118" s="1851"/>
    </row>
    <row s="16676" customFormat="1" customHeight="1" ht="0.75" hidden="1">
      <c r="A119" s="2007"/>
      <c r="B119" s="2007"/>
      <c r="C119" s="591" t="s">
        <v>1178</v>
      </c>
      <c r="D119" s="2595"/>
      <c r="E119" s="2338"/>
      <c r="F119" s="2504"/>
      <c r="G119" s="622"/>
      <c r="H119" s="1727"/>
      <c r="I119" s="873"/>
      <c r="J119" s="793"/>
      <c r="K119" s="1727"/>
      <c r="L119" s="436"/>
      <c r="M119" s="563"/>
      <c r="N119" s="556"/>
      <c r="O119" s="1851"/>
      <c r="P119" s="1851"/>
    </row>
    <row s="16676" customFormat="1" customHeight="1" ht="18.75" hidden="1">
      <c r="A120" s="2007" t="s">
        <v>293</v>
      </c>
      <c r="B120" s="2007" t="s">
        <v>294</v>
      </c>
      <c r="C120" s="591"/>
      <c r="D120" s="2595"/>
      <c r="E120" s="2338"/>
      <c r="F120" s="2504"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550" t="str">
        <f>INDEX(PT_DIFFERENTIATION_NTAR,MATCH(B120,PT_DIFFERENTIATION_NTAR_ID,0))</f>
        <v/>
      </c>
      <c r="H120" s="2090"/>
      <c r="I120" s="1966"/>
      <c r="J120" s="2000"/>
      <c r="K120" s="2005"/>
      <c r="L120" s="2090" t="s">
        <v>412</v>
      </c>
      <c r="M120" s="563"/>
      <c r="N120" s="556"/>
      <c r="O120" s="1851"/>
      <c r="P120" s="1851"/>
    </row>
    <row s="16676" customFormat="1" customHeight="1" ht="18.75" hidden="1">
      <c r="A121" s="2007"/>
      <c r="B121" s="2007"/>
      <c r="C121" s="591" t="s">
        <v>1169</v>
      </c>
      <c r="D121" s="2595"/>
      <c r="E121" s="2338"/>
      <c r="F121" s="2504"/>
      <c r="G121" s="2550"/>
      <c r="H121" s="1727"/>
      <c r="I121" s="873" t="s">
        <v>1168</v>
      </c>
      <c r="J121" s="793"/>
      <c r="K121" s="1727"/>
      <c r="L121" s="436"/>
      <c r="M121" s="563"/>
      <c r="N121" s="556"/>
      <c r="O121" s="1851"/>
      <c r="P121" s="1851"/>
    </row>
    <row s="16676" customFormat="1" customHeight="1" ht="0.75" hidden="1">
      <c r="A122" s="2007"/>
      <c r="B122" s="2007"/>
      <c r="C122" s="591" t="s">
        <v>1178</v>
      </c>
      <c r="D122" s="2595"/>
      <c r="E122" s="2338"/>
      <c r="F122" s="2504"/>
      <c r="G122" s="622"/>
      <c r="H122" s="1727"/>
      <c r="I122" s="873"/>
      <c r="J122" s="793"/>
      <c r="K122" s="1727"/>
      <c r="L122" s="436"/>
      <c r="M122" s="563"/>
      <c r="N122" s="556"/>
      <c r="O122" s="1851"/>
      <c r="P122" s="1851"/>
    </row>
    <row s="16676" customFormat="1" customHeight="1" ht="18.75">
      <c r="A123" s="2007" t="s">
        <v>301</v>
      </c>
      <c r="B123" s="2007" t="s">
        <v>302</v>
      </c>
      <c r="C123" s="591"/>
      <c r="D123" s="2595"/>
      <c r="E123" s="2338"/>
      <c r="F123" s="2504" t="str">
        <f>INDEX(PT_DIFFERENTIATION_VTAR,MATCH(A123,PT_DIFFERENTIATION_VTAR_ID,0))</f>
        <v>Тариф на горячую воду (горячее водоснабжение)</v>
      </c>
      <c r="G123" s="2550" t="str">
        <f>INDEX(PT_DIFFERENTIATION_NTAR,MATCH(B123,PT_DIFFERENTIATION_NTAR_ID,0))</f>
        <v>Горячее водоснажение (закрытая система)</v>
      </c>
      <c r="H123" s="2090"/>
      <c r="I123" s="22332">
        <v>45658</v>
      </c>
      <c r="J123" s="22333">
        <v>46022</v>
      </c>
      <c r="K123" s="2005">
        <v>224301.4802</v>
      </c>
      <c r="L123" s="2090" t="s">
        <v>412</v>
      </c>
      <c r="M123" s="563"/>
      <c r="N123" s="556"/>
      <c r="O123" s="1851"/>
      <c r="P123" s="1851"/>
    </row>
    <row s="22334" customFormat="1" customHeight="1" ht="25.03551483154297">
      <c r="A124" s="22335"/>
      <c r="B124" s="22335"/>
      <c r="C124" s="22336"/>
      <c r="D124" s="22337"/>
      <c r="E124" s="22338"/>
      <c r="F124" s="22338"/>
      <c r="G124" s="22338"/>
      <c r="H124" s="22339" t="s">
        <v>100</v>
      </c>
      <c r="I124" s="22332">
        <v>46023.40261574074</v>
      </c>
      <c r="J124" s="22333">
        <v>46387.40287037037</v>
      </c>
      <c r="K124" s="22340">
        <v>279586.2379</v>
      </c>
      <c r="L124" s="22341" t="s">
        <v>412</v>
      </c>
      <c r="M124" s="22342"/>
      <c r="N124" s="22343"/>
      <c r="O124" s="22344"/>
      <c r="P124" s="22344"/>
      <c r="Q124" s="22345"/>
      <c r="R124" s="22345"/>
      <c r="S124" s="22345"/>
      <c r="T124" s="22345"/>
      <c r="U124" s="22345"/>
      <c r="V124" s="22345"/>
      <c r="W124" s="22345"/>
      <c r="X124" s="22345"/>
      <c r="Y124" s="22345"/>
      <c r="Z124" s="22345"/>
      <c r="AA124" s="22345"/>
      <c r="AB124" s="22345"/>
      <c r="AC124" s="22345"/>
      <c r="AD124" s="22345"/>
      <c r="AE124" s="22345"/>
      <c r="AF124" s="22345"/>
      <c r="AG124" s="22345"/>
    </row>
    <row s="22345" customFormat="1" customHeight="1" ht="21.702181498209637">
      <c r="A125" s="22335"/>
      <c r="B125" s="22335"/>
      <c r="C125" s="22336"/>
      <c r="D125" s="22337"/>
      <c r="E125" s="22338"/>
      <c r="F125" s="22338"/>
      <c r="G125" s="22338"/>
      <c r="H125" s="22339" t="s">
        <v>100</v>
      </c>
      <c r="I125" s="22332">
        <v>46388.40300925926</v>
      </c>
      <c r="J125" s="22333">
        <v>46752.403125</v>
      </c>
      <c r="K125" s="22340">
        <v>290769.5215</v>
      </c>
      <c r="L125" s="22341" t="s">
        <v>412</v>
      </c>
      <c r="M125" s="22342"/>
      <c r="N125" s="22343"/>
      <c r="O125" s="22344"/>
      <c r="P125" s="22344"/>
      <c r="Q125" s="22345"/>
      <c r="R125" s="22345"/>
      <c r="S125" s="22345"/>
      <c r="T125" s="22345"/>
      <c r="U125" s="22345"/>
      <c r="V125" s="22345"/>
      <c r="W125" s="22345"/>
      <c r="X125" s="22345"/>
      <c r="Y125" s="22345"/>
      <c r="Z125" s="22345"/>
      <c r="AA125" s="22345"/>
      <c r="AB125" s="22345"/>
      <c r="AC125" s="22345"/>
      <c r="AD125" s="22345"/>
      <c r="AE125" s="22345"/>
      <c r="AF125" s="22345"/>
      <c r="AG125" s="22345"/>
    </row>
    <row s="22345" customFormat="1" customHeight="1" ht="21.702181498209637">
      <c r="A126" s="22335"/>
      <c r="B126" s="22335"/>
      <c r="C126" s="22336"/>
      <c r="D126" s="22337"/>
      <c r="E126" s="22338"/>
      <c r="F126" s="22338"/>
      <c r="G126" s="22338"/>
      <c r="H126" s="22339" t="s">
        <v>100</v>
      </c>
      <c r="I126" s="22332">
        <v>46753.40625</v>
      </c>
      <c r="J126" s="22333">
        <v>47118.40636574074</v>
      </c>
      <c r="K126" s="22340">
        <v>302400.3283</v>
      </c>
      <c r="L126" s="22341" t="s">
        <v>412</v>
      </c>
      <c r="M126" s="22342"/>
      <c r="N126" s="22343"/>
      <c r="O126" s="22344"/>
      <c r="P126" s="22344"/>
      <c r="Q126" s="22345"/>
      <c r="R126" s="22345"/>
      <c r="S126" s="22345"/>
      <c r="T126" s="22345"/>
      <c r="U126" s="22345"/>
      <c r="V126" s="22345"/>
      <c r="W126" s="22345"/>
      <c r="X126" s="22345"/>
      <c r="Y126" s="22345"/>
      <c r="Z126" s="22345"/>
      <c r="AA126" s="22345"/>
      <c r="AB126" s="22345"/>
      <c r="AC126" s="22345"/>
      <c r="AD126" s="22345"/>
      <c r="AE126" s="22345"/>
      <c r="AF126" s="22345"/>
      <c r="AG126" s="22345"/>
    </row>
    <row s="16676" customFormat="1" customHeight="1" ht="18.75">
      <c r="A127" s="2007"/>
      <c r="B127" s="2007"/>
      <c r="C127" s="591" t="s">
        <v>1169</v>
      </c>
      <c r="D127" s="2595"/>
      <c r="E127" s="2338"/>
      <c r="F127" s="2504"/>
      <c r="G127" s="2550"/>
      <c r="H127" s="1727"/>
      <c r="I127" s="873" t="s">
        <v>1168</v>
      </c>
      <c r="J127" s="793"/>
      <c r="K127" s="1727"/>
      <c r="L127" s="436"/>
      <c r="M127" s="563"/>
      <c r="N127" s="556"/>
      <c r="O127" s="1851"/>
      <c r="P127" s="1851"/>
    </row>
    <row s="16676" customFormat="1" customHeight="1" ht="0.75">
      <c r="A128" s="2007"/>
      <c r="B128" s="2007"/>
      <c r="C128" s="591" t="s">
        <v>1178</v>
      </c>
      <c r="D128" s="2595"/>
      <c r="E128" s="2338"/>
      <c r="F128" s="2504"/>
      <c r="G128" s="622"/>
      <c r="H128" s="1727"/>
      <c r="I128" s="873"/>
      <c r="J128" s="793"/>
      <c r="K128" s="1727"/>
      <c r="L128" s="436"/>
      <c r="M128" s="563"/>
      <c r="N128" s="556"/>
      <c r="O128" s="1851"/>
      <c r="P128" s="1851"/>
    </row>
    <row s="16676" customFormat="1" customHeight="1" ht="18.75" hidden="1">
      <c r="A129" s="2007" t="s">
        <v>361</v>
      </c>
      <c r="B129" s="2007" t="s">
        <v>362</v>
      </c>
      <c r="C129" s="591"/>
      <c r="D129" s="2595"/>
      <c r="E129" s="2338"/>
      <c r="F129" s="2504" t="str">
        <f>INDEX(PT_DIFFERENTIATION_VTAR,MATCH(A129,PT_DIFFERENTIATION_VTAR_ID,0))</f>
        <v>Тариф на транспортировку горячей воды</v>
      </c>
      <c r="G129" s="2550" t="str">
        <f>INDEX(PT_DIFFERENTIATION_NTAR,MATCH(B129,PT_DIFFERENTIATION_NTAR_ID,0))</f>
        <v/>
      </c>
      <c r="H129" s="2090"/>
      <c r="I129" s="1966"/>
      <c r="J129" s="2000"/>
      <c r="K129" s="2005"/>
      <c r="L129" s="2090" t="s">
        <v>412</v>
      </c>
      <c r="M129" s="563"/>
      <c r="N129" s="556"/>
      <c r="O129" s="1851"/>
      <c r="P129" s="1851"/>
    </row>
    <row s="16676" customFormat="1" customHeight="1" ht="18.75" hidden="1">
      <c r="A130" s="2007"/>
      <c r="B130" s="2007"/>
      <c r="C130" s="591" t="s">
        <v>1169</v>
      </c>
      <c r="D130" s="2595"/>
      <c r="E130" s="2338"/>
      <c r="F130" s="2504"/>
      <c r="G130" s="2550"/>
      <c r="H130" s="1727"/>
      <c r="I130" s="873" t="s">
        <v>1168</v>
      </c>
      <c r="J130" s="793"/>
      <c r="K130" s="1727"/>
      <c r="L130" s="436"/>
      <c r="M130" s="563"/>
      <c r="N130" s="556"/>
      <c r="O130" s="1851"/>
      <c r="P130" s="1851"/>
    </row>
    <row s="16676" customFormat="1" customHeight="1" ht="0.75" hidden="1">
      <c r="A131" s="2007"/>
      <c r="B131" s="2007"/>
      <c r="C131" s="591" t="s">
        <v>1178</v>
      </c>
      <c r="D131" s="2595"/>
      <c r="E131" s="2338"/>
      <c r="F131" s="2504"/>
      <c r="G131" s="622"/>
      <c r="H131" s="1727"/>
      <c r="I131" s="873"/>
      <c r="J131" s="793"/>
      <c r="K131" s="1727"/>
      <c r="L131" s="436"/>
      <c r="M131" s="563"/>
      <c r="N131" s="556"/>
      <c r="O131" s="1851"/>
      <c r="P131" s="1851"/>
    </row>
    <row s="16676" customFormat="1" customHeight="1" ht="18.75" hidden="1">
      <c r="A132" s="2007" t="s">
        <v>366</v>
      </c>
      <c r="B132" s="2007" t="s">
        <v>367</v>
      </c>
      <c r="C132" s="591"/>
      <c r="D132" s="2595"/>
      <c r="E132" s="2338"/>
      <c r="F132" s="2504" t="str">
        <f>INDEX(PT_DIFFERENTIATION_VTAR,MATCH(A132,PT_DIFFERENTIATION_VTAR_ID,0))</f>
        <v>Тариф на подключение (технологическое присоединение) к централизованной системе горячего водоснабжения</v>
      </c>
      <c r="G132" s="2550" t="str">
        <f>INDEX(PT_DIFFERENTIATION_NTAR,MATCH(B132,PT_DIFFERENTIATION_NTAR_ID,0))</f>
        <v/>
      </c>
      <c r="H132" s="2090"/>
      <c r="I132" s="1966"/>
      <c r="J132" s="2000"/>
      <c r="K132" s="2005"/>
      <c r="L132" s="2090" t="s">
        <v>412</v>
      </c>
      <c r="M132" s="563"/>
      <c r="N132" s="556"/>
      <c r="O132" s="1851"/>
      <c r="P132" s="1851"/>
    </row>
    <row s="16676" customFormat="1" customHeight="1" ht="18.75" hidden="1">
      <c r="A133" s="2007"/>
      <c r="B133" s="2007"/>
      <c r="C133" s="591" t="s">
        <v>1169</v>
      </c>
      <c r="D133" s="2595"/>
      <c r="E133" s="2338"/>
      <c r="F133" s="2504"/>
      <c r="G133" s="2550"/>
      <c r="H133" s="1727"/>
      <c r="I133" s="873" t="s">
        <v>1168</v>
      </c>
      <c r="J133" s="793"/>
      <c r="K133" s="1727"/>
      <c r="L133" s="436"/>
      <c r="M133" s="563"/>
      <c r="N133" s="556"/>
      <c r="O133" s="1851"/>
      <c r="P133" s="1851"/>
    </row>
    <row s="16676" customFormat="1" customHeight="1" ht="0.75" hidden="1">
      <c r="A134" s="2007"/>
      <c r="B134" s="2007"/>
      <c r="C134" s="591" t="s">
        <v>1178</v>
      </c>
      <c r="D134" s="2595"/>
      <c r="E134" s="2338"/>
      <c r="F134" s="2504"/>
      <c r="G134" s="622"/>
      <c r="H134" s="1727"/>
      <c r="I134" s="873"/>
      <c r="J134" s="793"/>
      <c r="K134" s="1727"/>
      <c r="L134" s="436"/>
      <c r="M134" s="563"/>
      <c r="N134" s="556"/>
      <c r="O134" s="1851"/>
      <c r="P134" s="1851"/>
    </row>
    <row s="16676" customFormat="1" customHeight="1" ht="18.75" hidden="1">
      <c r="A135" s="2007" t="s">
        <v>371</v>
      </c>
      <c r="B135" s="2007" t="s">
        <v>372</v>
      </c>
      <c r="C135" s="591"/>
      <c r="D135" s="2595"/>
      <c r="E135" s="2338"/>
      <c r="F135" s="2504" t="str">
        <f>INDEX(PT_DIFFERENTIATION_VTAR,MATCH(A135,PT_DIFFERENTIATION_VTAR_ID,0))</f>
        <v>Тариф на водоотведение</v>
      </c>
      <c r="G135" s="2550" t="str">
        <f>INDEX(PT_DIFFERENTIATION_NTAR,MATCH(B135,PT_DIFFERENTIATION_NTAR_ID,0))</f>
        <v/>
      </c>
      <c r="H135" s="2090"/>
      <c r="I135" s="1966"/>
      <c r="J135" s="2000"/>
      <c r="K135" s="2005"/>
      <c r="L135" s="2090" t="s">
        <v>412</v>
      </c>
      <c r="M135" s="563"/>
      <c r="N135" s="556"/>
      <c r="O135" s="1851"/>
      <c r="P135" s="1851"/>
    </row>
    <row s="16676" customFormat="1" customHeight="1" ht="18.75" hidden="1">
      <c r="A136" s="2007"/>
      <c r="B136" s="2007"/>
      <c r="C136" s="591" t="s">
        <v>1169</v>
      </c>
      <c r="D136" s="2595"/>
      <c r="E136" s="2338"/>
      <c r="F136" s="2504"/>
      <c r="G136" s="2550"/>
      <c r="H136" s="1727"/>
      <c r="I136" s="873" t="s">
        <v>1168</v>
      </c>
      <c r="J136" s="793"/>
      <c r="K136" s="1727"/>
      <c r="L136" s="436"/>
      <c r="M136" s="563"/>
      <c r="N136" s="556"/>
      <c r="O136" s="1851"/>
      <c r="P136" s="1851"/>
    </row>
    <row s="16676" customFormat="1" customHeight="1" ht="0.75" hidden="1">
      <c r="A137" s="2007"/>
      <c r="B137" s="2007"/>
      <c r="C137" s="591" t="s">
        <v>1178</v>
      </c>
      <c r="D137" s="2595"/>
      <c r="E137" s="2338"/>
      <c r="F137" s="2504"/>
      <c r="G137" s="622"/>
      <c r="H137" s="1727"/>
      <c r="I137" s="873"/>
      <c r="J137" s="793"/>
      <c r="K137" s="1727"/>
      <c r="L137" s="436"/>
      <c r="M137" s="563"/>
      <c r="N137" s="556"/>
      <c r="O137" s="1851"/>
      <c r="P137" s="1851"/>
    </row>
    <row s="16676" customFormat="1" customHeight="1" ht="18.75" hidden="1">
      <c r="A138" s="2007" t="s">
        <v>376</v>
      </c>
      <c r="B138" s="2007" t="s">
        <v>377</v>
      </c>
      <c r="C138" s="591"/>
      <c r="D138" s="2595"/>
      <c r="E138" s="2338"/>
      <c r="F138" s="2504" t="str">
        <f>INDEX(PT_DIFFERENTIATION_VTAR,MATCH(A138,PT_DIFFERENTIATION_VTAR_ID,0))</f>
        <v>Тариф на транспортировку сточных вод</v>
      </c>
      <c r="G138" s="2550" t="str">
        <f>INDEX(PT_DIFFERENTIATION_NTAR,MATCH(B138,PT_DIFFERENTIATION_NTAR_ID,0))</f>
        <v/>
      </c>
      <c r="H138" s="2090"/>
      <c r="I138" s="1966"/>
      <c r="J138" s="2000"/>
      <c r="K138" s="2005"/>
      <c r="L138" s="2090" t="s">
        <v>412</v>
      </c>
      <c r="M138" s="563"/>
      <c r="N138" s="556"/>
      <c r="O138" s="1851"/>
      <c r="P138" s="1851"/>
    </row>
    <row s="16676" customFormat="1" customHeight="1" ht="18.75" hidden="1">
      <c r="A139" s="2007"/>
      <c r="B139" s="2007"/>
      <c r="C139" s="591" t="s">
        <v>1169</v>
      </c>
      <c r="D139" s="2595"/>
      <c r="E139" s="2338"/>
      <c r="F139" s="2504"/>
      <c r="G139" s="2550"/>
      <c r="H139" s="1727"/>
      <c r="I139" s="873" t="s">
        <v>1168</v>
      </c>
      <c r="J139" s="793"/>
      <c r="K139" s="1727"/>
      <c r="L139" s="436"/>
      <c r="M139" s="563"/>
      <c r="N139" s="556"/>
      <c r="O139" s="1851"/>
      <c r="P139" s="1851"/>
    </row>
    <row s="16676" customFormat="1" customHeight="1" ht="0.75" hidden="1">
      <c r="A140" s="2007"/>
      <c r="B140" s="2007"/>
      <c r="C140" s="591" t="s">
        <v>1178</v>
      </c>
      <c r="D140" s="2595"/>
      <c r="E140" s="2338"/>
      <c r="F140" s="2504"/>
      <c r="G140" s="622"/>
      <c r="H140" s="1727"/>
      <c r="I140" s="873"/>
      <c r="J140" s="793"/>
      <c r="K140" s="1727"/>
      <c r="L140" s="436"/>
      <c r="M140" s="563"/>
      <c r="N140" s="556"/>
      <c r="O140" s="1851"/>
      <c r="P140" s="1851"/>
    </row>
    <row s="16676" customFormat="1" customHeight="1" ht="18.75" hidden="1">
      <c r="A141" s="2007" t="s">
        <v>381</v>
      </c>
      <c r="B141" s="2007" t="s">
        <v>382</v>
      </c>
      <c r="C141" s="591"/>
      <c r="D141" s="2595"/>
      <c r="E141" s="2338"/>
      <c r="F141" s="2504" t="str">
        <f>INDEX(PT_DIFFERENTIATION_VTAR,MATCH(A141,PT_DIFFERENTIATION_VTAR_ID,0))</f>
        <v>Тариф на подключение (технологическое присоединение) к централизованной системе водоотведения</v>
      </c>
      <c r="G141" s="2550" t="str">
        <f>INDEX(PT_DIFFERENTIATION_NTAR,MATCH(B141,PT_DIFFERENTIATION_NTAR_ID,0))</f>
        <v/>
      </c>
      <c r="H141" s="2090"/>
      <c r="I141" s="1966"/>
      <c r="J141" s="2000"/>
      <c r="K141" s="2005"/>
      <c r="L141" s="2090" t="s">
        <v>412</v>
      </c>
      <c r="M141" s="563"/>
      <c r="N141" s="556"/>
      <c r="O141" s="1851"/>
      <c r="P141" s="1851"/>
    </row>
    <row s="16676" customFormat="1" customHeight="1" ht="18.75" hidden="1">
      <c r="A142" s="2007"/>
      <c r="B142" s="2007"/>
      <c r="C142" s="591" t="s">
        <v>1169</v>
      </c>
      <c r="D142" s="2595"/>
      <c r="E142" s="2338"/>
      <c r="F142" s="2504"/>
      <c r="G142" s="2550"/>
      <c r="H142" s="1727"/>
      <c r="I142" s="873" t="s">
        <v>1168</v>
      </c>
      <c r="J142" s="793"/>
      <c r="K142" s="1727"/>
      <c r="L142" s="436"/>
      <c r="M142" s="563"/>
      <c r="N142" s="556"/>
      <c r="O142" s="1851"/>
      <c r="P142" s="1851"/>
    </row>
    <row s="16676" customFormat="1" customHeight="1" ht="0.75">
      <c r="A143" s="2007"/>
      <c r="B143" s="2007"/>
      <c r="C143" s="591" t="s">
        <v>1178</v>
      </c>
      <c r="D143" s="2595"/>
      <c r="E143" s="2338"/>
      <c r="F143" s="2504"/>
      <c r="G143" s="622"/>
      <c r="H143" s="1727"/>
      <c r="I143" s="873"/>
      <c r="J143" s="793"/>
      <c r="K143" s="1727"/>
      <c r="L143" s="436"/>
      <c r="M143" s="563"/>
      <c r="N143" s="556"/>
      <c r="O143" s="1851"/>
      <c r="P143" s="1851"/>
    </row>
    <row customHeight="1" ht="18.75">
      <c r="A144" s="2007"/>
      <c r="B144" s="2007"/>
      <c r="D144" s="598"/>
      <c r="E144" s="370" t="s">
        <v>87</v>
      </c>
      <c r="F144" s="258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4" s="2587"/>
      <c r="H144" s="2587"/>
      <c r="I144" s="2587"/>
      <c r="J144" s="2587"/>
      <c r="K144" s="2587"/>
      <c r="L144" s="2587"/>
      <c r="M144" s="519"/>
      <c r="N144" s="556"/>
    </row>
    <row s="16676" customFormat="1" customHeight="1" ht="60.75" hidden="1">
      <c r="A145" s="2007" t="s">
        <v>205</v>
      </c>
      <c r="B145" s="2007" t="s">
        <v>206</v>
      </c>
      <c r="C145" s="591"/>
      <c r="D145" s="2595"/>
      <c r="E145" s="2338"/>
      <c r="F145" s="2504" t="str">
        <f>INDEX(PT_DIFFERENTIATION_VTAR,MATCH(A145,PT_DIFFERENTIATION_VTAR_ID,0))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5" s="2550" t="str">
        <f>INDEX(PT_DIFFERENTIATION_NTAR,MATCH(B145,PT_DIFFERENTIATION_NTAR_ID,0))</f>
        <v/>
      </c>
      <c r="H145" s="2090"/>
      <c r="I145" s="1966"/>
      <c r="J145" s="2000"/>
      <c r="K145" s="2005"/>
      <c r="L145" s="2090" t="s">
        <v>412</v>
      </c>
      <c r="M145" s="22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5" s="556"/>
      <c r="O145" s="1851"/>
      <c r="P145" s="1851"/>
    </row>
    <row s="16676" customFormat="1" customHeight="1" ht="18.75" hidden="1">
      <c r="A146" s="2007"/>
      <c r="B146" s="2007"/>
      <c r="C146" s="591" t="s">
        <v>1169</v>
      </c>
      <c r="D146" s="2595"/>
      <c r="E146" s="2338"/>
      <c r="F146" s="2504"/>
      <c r="G146" s="2550"/>
      <c r="H146" s="1727"/>
      <c r="I146" s="873" t="s">
        <v>1168</v>
      </c>
      <c r="J146" s="793"/>
      <c r="K146" s="1727"/>
      <c r="L146" s="436"/>
      <c r="M146" s="2298"/>
      <c r="N146" s="556"/>
      <c r="O146" s="1851"/>
      <c r="P146" s="1851"/>
    </row>
    <row s="16676" customFormat="1" customHeight="1" ht="0.75" hidden="1">
      <c r="A147" s="2007"/>
      <c r="B147" s="2007"/>
      <c r="C147" s="591" t="s">
        <v>1178</v>
      </c>
      <c r="D147" s="2595"/>
      <c r="E147" s="2338"/>
      <c r="F147" s="2504"/>
      <c r="G147" s="622"/>
      <c r="H147" s="1727"/>
      <c r="I147" s="873"/>
      <c r="J147" s="793"/>
      <c r="K147" s="1727"/>
      <c r="L147" s="436"/>
      <c r="M147" s="2298"/>
      <c r="N147" s="556"/>
      <c r="O147" s="1851"/>
      <c r="P147" s="1851"/>
    </row>
    <row s="16676" customFormat="1" customHeight="1" ht="45" hidden="1">
      <c r="A148" s="2007" t="s">
        <v>211</v>
      </c>
      <c r="B148" s="2007" t="s">
        <v>212</v>
      </c>
      <c r="C148" s="591"/>
      <c r="D148" s="2595"/>
      <c r="E148" s="2338"/>
      <c r="F148" s="2504" t="str">
        <f>INDEX(PT_DIFFERENTIATION_VTAR,MATCH(A148,PT_DIFFERENTIATION_VTAR_ID,0))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8" s="2550" t="str">
        <f>INDEX(PT_DIFFERENTIATION_NTAR,MATCH(B148,PT_DIFFERENTIATION_NTAR_ID,0))</f>
        <v/>
      </c>
      <c r="H148" s="2090"/>
      <c r="I148" s="1966"/>
      <c r="J148" s="2000"/>
      <c r="K148" s="2005"/>
      <c r="L148" s="2090" t="s">
        <v>412</v>
      </c>
      <c r="M148" s="2299"/>
      <c r="N148" s="556"/>
      <c r="O148" s="1851"/>
      <c r="P148" s="1851"/>
    </row>
    <row s="16676" customFormat="1" customHeight="1" ht="18.75" hidden="1">
      <c r="A149" s="2007"/>
      <c r="B149" s="2007"/>
      <c r="C149" s="591" t="s">
        <v>1169</v>
      </c>
      <c r="D149" s="2595"/>
      <c r="E149" s="2338"/>
      <c r="F149" s="2504"/>
      <c r="G149" s="2550"/>
      <c r="H149" s="1727"/>
      <c r="I149" s="873" t="s">
        <v>1168</v>
      </c>
      <c r="J149" s="793"/>
      <c r="K149" s="1727"/>
      <c r="L149" s="436"/>
      <c r="M149" s="2089"/>
      <c r="N149" s="556"/>
      <c r="O149" s="1851"/>
      <c r="P149" s="1851"/>
    </row>
    <row s="16676" customFormat="1" customHeight="1" ht="0.75" hidden="1">
      <c r="A150" s="2007"/>
      <c r="B150" s="2007"/>
      <c r="C150" s="591" t="s">
        <v>1178</v>
      </c>
      <c r="D150" s="2595"/>
      <c r="E150" s="2338"/>
      <c r="F150" s="2504"/>
      <c r="G150" s="622"/>
      <c r="H150" s="1727"/>
      <c r="I150" s="873"/>
      <c r="J150" s="793"/>
      <c r="K150" s="1727"/>
      <c r="L150" s="436"/>
      <c r="M150" s="563"/>
      <c r="N150" s="556"/>
      <c r="O150" s="1851"/>
      <c r="P150" s="1851"/>
    </row>
    <row s="16676" customFormat="1" customHeight="1" ht="45" hidden="1">
      <c r="A151" s="2007" t="s">
        <v>217</v>
      </c>
      <c r="B151" s="2007" t="s">
        <v>218</v>
      </c>
      <c r="C151" s="591"/>
      <c r="D151" s="2595"/>
      <c r="E151" s="2338"/>
      <c r="F151" s="2504" t="str">
        <f>INDEX(PT_DIFFERENTIATION_VTAR,MATCH(A151,PT_DIFFERENTIATION_VTAR_ID,0))</f>
        <v>Тарифы на теплоноситель, поставляемый теплоснабжающими организациями потребителям, другим теплоснабжающим организациям</v>
      </c>
      <c r="G151" s="2550" t="str">
        <f>INDEX(PT_DIFFERENTIATION_NTAR,MATCH(B151,PT_DIFFERENTIATION_NTAR_ID,0))</f>
        <v/>
      </c>
      <c r="H151" s="2090"/>
      <c r="I151" s="1966"/>
      <c r="J151" s="2000"/>
      <c r="K151" s="2005"/>
      <c r="L151" s="2090" t="s">
        <v>412</v>
      </c>
      <c r="M151" s="563"/>
      <c r="N151" s="556"/>
      <c r="O151" s="1851"/>
      <c r="P151" s="1851"/>
    </row>
    <row s="16676" customFormat="1" customHeight="1" ht="18.75" hidden="1">
      <c r="A152" s="2007"/>
      <c r="B152" s="2007"/>
      <c r="C152" s="591" t="s">
        <v>1169</v>
      </c>
      <c r="D152" s="2595"/>
      <c r="E152" s="2338"/>
      <c r="F152" s="2504"/>
      <c r="G152" s="2550"/>
      <c r="H152" s="1727"/>
      <c r="I152" s="873" t="s">
        <v>1168</v>
      </c>
      <c r="J152" s="793"/>
      <c r="K152" s="1727"/>
      <c r="L152" s="436"/>
      <c r="M152" s="563"/>
      <c r="N152" s="556"/>
      <c r="O152" s="1851"/>
      <c r="P152" s="1851"/>
    </row>
    <row s="16676" customFormat="1" customHeight="1" ht="0.75" hidden="1">
      <c r="A153" s="2007"/>
      <c r="B153" s="2007"/>
      <c r="C153" s="591" t="s">
        <v>1178</v>
      </c>
      <c r="D153" s="2595"/>
      <c r="E153" s="2338"/>
      <c r="F153" s="2504"/>
      <c r="G153" s="622"/>
      <c r="H153" s="1727"/>
      <c r="I153" s="873"/>
      <c r="J153" s="793"/>
      <c r="K153" s="1727"/>
      <c r="L153" s="436"/>
      <c r="M153" s="563"/>
      <c r="N153" s="556"/>
      <c r="O153" s="1851"/>
      <c r="P153" s="1851"/>
    </row>
    <row s="16676" customFormat="1" customHeight="1" ht="45" hidden="1">
      <c r="A154" s="2007" t="s">
        <v>223</v>
      </c>
      <c r="B154" s="2007" t="s">
        <v>224</v>
      </c>
      <c r="C154" s="591"/>
      <c r="D154" s="2595"/>
      <c r="E154" s="2338"/>
      <c r="F154" s="2504" t="str">
        <f>INDEX(PT_DIFFERENTIATION_VTAR,MATCH(A154,PT_DIFFERENTIATION_VTAR_ID,0))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4" s="2550" t="str">
        <f>INDEX(PT_DIFFERENTIATION_NTAR,MATCH(B154,PT_DIFFERENTIATION_NTAR_ID,0))</f>
        <v/>
      </c>
      <c r="H154" s="2090"/>
      <c r="I154" s="1966"/>
      <c r="J154" s="2000"/>
      <c r="K154" s="2005"/>
      <c r="L154" s="2090" t="s">
        <v>412</v>
      </c>
      <c r="M154" s="563"/>
      <c r="N154" s="556"/>
      <c r="O154" s="1851"/>
      <c r="P154" s="1851"/>
    </row>
    <row s="16676" customFormat="1" customHeight="1" ht="18.75" hidden="1">
      <c r="A155" s="2007"/>
      <c r="B155" s="2007"/>
      <c r="C155" s="591" t="s">
        <v>1169</v>
      </c>
      <c r="D155" s="2595"/>
      <c r="E155" s="2338"/>
      <c r="F155" s="2504"/>
      <c r="G155" s="2550"/>
      <c r="H155" s="1727"/>
      <c r="I155" s="873" t="s">
        <v>1168</v>
      </c>
      <c r="J155" s="793"/>
      <c r="K155" s="1727"/>
      <c r="L155" s="436"/>
      <c r="M155" s="563"/>
      <c r="N155" s="556"/>
      <c r="O155" s="1851"/>
      <c r="P155" s="1851"/>
    </row>
    <row s="16676" customFormat="1" customHeight="1" ht="0.75" hidden="1">
      <c r="A156" s="2007"/>
      <c r="B156" s="2007"/>
      <c r="C156" s="591" t="s">
        <v>1178</v>
      </c>
      <c r="D156" s="2595"/>
      <c r="E156" s="2338"/>
      <c r="F156" s="2504"/>
      <c r="G156" s="622"/>
      <c r="H156" s="1727"/>
      <c r="I156" s="873"/>
      <c r="J156" s="793"/>
      <c r="K156" s="1727"/>
      <c r="L156" s="436"/>
      <c r="M156" s="563"/>
      <c r="N156" s="556"/>
      <c r="O156" s="1851"/>
      <c r="P156" s="1851"/>
    </row>
    <row s="16676" customFormat="1" customHeight="1" ht="18.75" hidden="1">
      <c r="A157" s="2007" t="s">
        <v>229</v>
      </c>
      <c r="B157" s="2007" t="s">
        <v>230</v>
      </c>
      <c r="C157" s="591"/>
      <c r="D157" s="2595"/>
      <c r="E157" s="2338"/>
      <c r="F157" s="2504" t="str">
        <f>INDEX(PT_DIFFERENTIATION_VTAR,MATCH(A157,PT_DIFFERENTIATION_VTAR_ID,0))</f>
        <v>Тарифы на услуги по передаче тепловой энергии</v>
      </c>
      <c r="G157" s="2550" t="str">
        <f>INDEX(PT_DIFFERENTIATION_NTAR,MATCH(B157,PT_DIFFERENTIATION_NTAR_ID,0))</f>
        <v/>
      </c>
      <c r="H157" s="2090"/>
      <c r="I157" s="1966"/>
      <c r="J157" s="2000"/>
      <c r="K157" s="2005"/>
      <c r="L157" s="2090" t="s">
        <v>412</v>
      </c>
      <c r="M157" s="563"/>
      <c r="N157" s="556"/>
      <c r="O157" s="1851"/>
      <c r="P157" s="1851"/>
    </row>
    <row s="16676" customFormat="1" customHeight="1" ht="18.75" hidden="1">
      <c r="A158" s="2007"/>
      <c r="B158" s="2007"/>
      <c r="C158" s="591" t="s">
        <v>1169</v>
      </c>
      <c r="D158" s="2595"/>
      <c r="E158" s="2338"/>
      <c r="F158" s="2504"/>
      <c r="G158" s="2550"/>
      <c r="H158" s="1727"/>
      <c r="I158" s="873" t="s">
        <v>1168</v>
      </c>
      <c r="J158" s="793"/>
      <c r="K158" s="1727"/>
      <c r="L158" s="436"/>
      <c r="M158" s="563"/>
      <c r="N158" s="556"/>
      <c r="O158" s="1851"/>
      <c r="P158" s="1851"/>
    </row>
    <row s="16676" customFormat="1" customHeight="1" ht="0.75" hidden="1">
      <c r="A159" s="2007"/>
      <c r="B159" s="2007"/>
      <c r="C159" s="591" t="s">
        <v>1178</v>
      </c>
      <c r="D159" s="2595"/>
      <c r="E159" s="2338"/>
      <c r="F159" s="2504"/>
      <c r="G159" s="622"/>
      <c r="H159" s="1727"/>
      <c r="I159" s="873"/>
      <c r="J159" s="793"/>
      <c r="K159" s="1727"/>
      <c r="L159" s="436"/>
      <c r="M159" s="563"/>
      <c r="N159" s="556"/>
      <c r="O159" s="1851"/>
      <c r="P159" s="1851"/>
    </row>
    <row s="16676" customFormat="1" customHeight="1" ht="18.75" hidden="1">
      <c r="A160" s="2007" t="s">
        <v>235</v>
      </c>
      <c r="B160" s="2007" t="s">
        <v>236</v>
      </c>
      <c r="C160" s="591"/>
      <c r="D160" s="2595"/>
      <c r="E160" s="2338"/>
      <c r="F160" s="2504" t="str">
        <f>INDEX(PT_DIFFERENTIATION_VTAR,MATCH(A160,PT_DIFFERENTIATION_VTAR_ID,0))</f>
        <v>Тарифы на услуги по передаче теплоносителя</v>
      </c>
      <c r="G160" s="2550" t="str">
        <f>INDEX(PT_DIFFERENTIATION_NTAR,MATCH(B160,PT_DIFFERENTIATION_NTAR_ID,0))</f>
        <v/>
      </c>
      <c r="H160" s="2090"/>
      <c r="I160" s="1966"/>
      <c r="J160" s="2000"/>
      <c r="K160" s="2005"/>
      <c r="L160" s="2090" t="s">
        <v>412</v>
      </c>
      <c r="M160" s="563"/>
      <c r="N160" s="556"/>
      <c r="O160" s="1851"/>
      <c r="P160" s="1851"/>
    </row>
    <row s="16676" customFormat="1" customHeight="1" ht="18.75" hidden="1">
      <c r="A161" s="2007"/>
      <c r="B161" s="2007"/>
      <c r="C161" s="591" t="s">
        <v>1169</v>
      </c>
      <c r="D161" s="2595"/>
      <c r="E161" s="2338"/>
      <c r="F161" s="2504"/>
      <c r="G161" s="2550"/>
      <c r="H161" s="1727"/>
      <c r="I161" s="873" t="s">
        <v>1168</v>
      </c>
      <c r="J161" s="793"/>
      <c r="K161" s="1727"/>
      <c r="L161" s="436"/>
      <c r="M161" s="563"/>
      <c r="N161" s="556"/>
      <c r="O161" s="1851"/>
      <c r="P161" s="1851"/>
    </row>
    <row s="16676" customFormat="1" customHeight="1" ht="0.75" hidden="1">
      <c r="A162" s="2007"/>
      <c r="B162" s="2007"/>
      <c r="C162" s="591" t="s">
        <v>1178</v>
      </c>
      <c r="D162" s="2595"/>
      <c r="E162" s="2338"/>
      <c r="F162" s="2504"/>
      <c r="G162" s="622"/>
      <c r="H162" s="1727"/>
      <c r="I162" s="873"/>
      <c r="J162" s="793"/>
      <c r="K162" s="1727"/>
      <c r="L162" s="436"/>
      <c r="M162" s="563"/>
      <c r="N162" s="556"/>
      <c r="O162" s="1851"/>
      <c r="P162" s="1851"/>
    </row>
    <row s="16676" customFormat="1" customHeight="1" ht="18.75" hidden="1">
      <c r="A163" s="2007" t="s">
        <v>241</v>
      </c>
      <c r="B163" s="2007" t="s">
        <v>242</v>
      </c>
      <c r="C163" s="591"/>
      <c r="D163" s="2595"/>
      <c r="E163" s="2338"/>
      <c r="F163" s="2504" t="str">
        <f>INDEX(PT_DIFFERENTIATION_VTAR,MATCH(A163,PT_DIFFERENTIATION_VTAR_ID,0))</f>
        <v>Плата за услуги по поддержанию резервной тепловой мощности при отсутствии потребления тепловой энергии</v>
      </c>
      <c r="G163" s="2550" t="str">
        <f>INDEX(PT_DIFFERENTIATION_NTAR,MATCH(B163,PT_DIFFERENTIATION_NTAR_ID,0))</f>
        <v/>
      </c>
      <c r="H163" s="2090"/>
      <c r="I163" s="1966"/>
      <c r="J163" s="2000"/>
      <c r="K163" s="2005"/>
      <c r="L163" s="2090" t="s">
        <v>412</v>
      </c>
      <c r="M163" s="563"/>
      <c r="N163" s="556"/>
      <c r="O163" s="1851"/>
      <c r="P163" s="1851"/>
    </row>
    <row s="16676" customFormat="1" customHeight="1" ht="18.75" hidden="1">
      <c r="A164" s="2007"/>
      <c r="B164" s="2007"/>
      <c r="C164" s="591" t="s">
        <v>1169</v>
      </c>
      <c r="D164" s="2595"/>
      <c r="E164" s="2338"/>
      <c r="F164" s="2504"/>
      <c r="G164" s="2550"/>
      <c r="H164" s="1727"/>
      <c r="I164" s="873" t="s">
        <v>1168</v>
      </c>
      <c r="J164" s="793"/>
      <c r="K164" s="1727"/>
      <c r="L164" s="436"/>
      <c r="M164" s="563"/>
      <c r="N164" s="556"/>
      <c r="O164" s="1851"/>
      <c r="P164" s="1851"/>
    </row>
    <row s="16676" customFormat="1" customHeight="1" ht="0.75" hidden="1">
      <c r="A165" s="2007"/>
      <c r="B165" s="2007"/>
      <c r="C165" s="591" t="s">
        <v>1178</v>
      </c>
      <c r="D165" s="2595"/>
      <c r="E165" s="2338"/>
      <c r="F165" s="2504"/>
      <c r="G165" s="622"/>
      <c r="H165" s="1727"/>
      <c r="I165" s="873"/>
      <c r="J165" s="793"/>
      <c r="K165" s="1727"/>
      <c r="L165" s="436"/>
      <c r="M165" s="563"/>
      <c r="N165" s="556"/>
      <c r="O165" s="1851"/>
      <c r="P165" s="1851"/>
    </row>
    <row s="16676" customFormat="1" customHeight="1" ht="18.75" hidden="1">
      <c r="A166" s="2007" t="s">
        <v>247</v>
      </c>
      <c r="B166" s="2007" t="s">
        <v>248</v>
      </c>
      <c r="C166" s="591"/>
      <c r="D166" s="2595"/>
      <c r="E166" s="2338"/>
      <c r="F166" s="2504" t="str">
        <f>INDEX(PT_DIFFERENTIATION_VTAR,MATCH(A166,PT_DIFFERENTIATION_VTAR_ID,0))</f>
        <v>Плата за подключение (технологическое присоединение) к системе теплоснабжения</v>
      </c>
      <c r="G166" s="2550" t="str">
        <f>INDEX(PT_DIFFERENTIATION_NTAR,MATCH(B166,PT_DIFFERENTIATION_NTAR_ID,0))</f>
        <v/>
      </c>
      <c r="H166" s="2090"/>
      <c r="I166" s="1966"/>
      <c r="J166" s="2000"/>
      <c r="K166" s="2005"/>
      <c r="L166" s="2090" t="s">
        <v>412</v>
      </c>
      <c r="M166" s="563"/>
      <c r="N166" s="556"/>
      <c r="O166" s="1851"/>
      <c r="P166" s="1851"/>
    </row>
    <row s="16676" customFormat="1" customHeight="1" ht="18.75" hidden="1">
      <c r="A167" s="2007"/>
      <c r="B167" s="2007"/>
      <c r="C167" s="591" t="s">
        <v>1169</v>
      </c>
      <c r="D167" s="2595"/>
      <c r="E167" s="2338"/>
      <c r="F167" s="2504"/>
      <c r="G167" s="2550"/>
      <c r="H167" s="1727"/>
      <c r="I167" s="873" t="s">
        <v>1168</v>
      </c>
      <c r="J167" s="793"/>
      <c r="K167" s="1727"/>
      <c r="L167" s="436"/>
      <c r="M167" s="563"/>
      <c r="N167" s="556"/>
      <c r="O167" s="1851"/>
      <c r="P167" s="1851"/>
    </row>
    <row s="16676" customFormat="1" customHeight="1" ht="0.75" hidden="1">
      <c r="A168" s="2007"/>
      <c r="B168" s="2007"/>
      <c r="C168" s="591" t="s">
        <v>1178</v>
      </c>
      <c r="D168" s="2595"/>
      <c r="E168" s="2338"/>
      <c r="F168" s="2504"/>
      <c r="G168" s="622"/>
      <c r="H168" s="1727"/>
      <c r="I168" s="873"/>
      <c r="J168" s="793"/>
      <c r="K168" s="1727"/>
      <c r="L168" s="436"/>
      <c r="M168" s="563"/>
      <c r="N168" s="556"/>
      <c r="O168" s="1851"/>
      <c r="P168" s="1851"/>
    </row>
    <row s="16676" customFormat="1" customHeight="1" ht="18.75" hidden="1">
      <c r="A169" s="2007" t="s">
        <v>273</v>
      </c>
      <c r="B169" s="2007" t="s">
        <v>274</v>
      </c>
      <c r="C169" s="591"/>
      <c r="D169" s="2595"/>
      <c r="E169" s="2338"/>
      <c r="F169" s="2504" t="str">
        <f>INDEX(PT_DIFFERENTIATION_VTAR,MATCH(A169,PT_DIFFERENTIATION_VTAR_ID,0))</f>
        <v>Тариф на питьевую воду (питьевое водоснабжение)</v>
      </c>
      <c r="G169" s="2550" t="str">
        <f>INDEX(PT_DIFFERENTIATION_NTAR,MATCH(B169,PT_DIFFERENTIATION_NTAR_ID,0))</f>
        <v/>
      </c>
      <c r="H169" s="2090"/>
      <c r="I169" s="1966"/>
      <c r="J169" s="2000"/>
      <c r="K169" s="2005"/>
      <c r="L169" s="2090" t="s">
        <v>412</v>
      </c>
      <c r="M169" s="563"/>
      <c r="N169" s="556"/>
      <c r="O169" s="1851"/>
      <c r="P169" s="1851"/>
    </row>
    <row s="16676" customFormat="1" customHeight="1" ht="18.75" hidden="1">
      <c r="A170" s="2007"/>
      <c r="B170" s="2007"/>
      <c r="C170" s="591" t="s">
        <v>1169</v>
      </c>
      <c r="D170" s="2595"/>
      <c r="E170" s="2338"/>
      <c r="F170" s="2504"/>
      <c r="G170" s="2550"/>
      <c r="H170" s="1727"/>
      <c r="I170" s="873" t="s">
        <v>1168</v>
      </c>
      <c r="J170" s="793"/>
      <c r="K170" s="1727"/>
      <c r="L170" s="436"/>
      <c r="M170" s="563"/>
      <c r="N170" s="556"/>
      <c r="O170" s="1851"/>
      <c r="P170" s="1851"/>
    </row>
    <row s="16676" customFormat="1" customHeight="1" ht="0.75" hidden="1">
      <c r="A171" s="2007"/>
      <c r="B171" s="2007"/>
      <c r="C171" s="591" t="s">
        <v>1178</v>
      </c>
      <c r="D171" s="2595"/>
      <c r="E171" s="2338"/>
      <c r="F171" s="2504"/>
      <c r="G171" s="622"/>
      <c r="H171" s="1727"/>
      <c r="I171" s="873"/>
      <c r="J171" s="793"/>
      <c r="K171" s="1727"/>
      <c r="L171" s="436"/>
      <c r="M171" s="563"/>
      <c r="N171" s="556"/>
      <c r="O171" s="1851"/>
      <c r="P171" s="1851"/>
    </row>
    <row s="16676" customFormat="1" customHeight="1" ht="18.75" hidden="1">
      <c r="A172" s="2007" t="s">
        <v>278</v>
      </c>
      <c r="B172" s="2007" t="s">
        <v>279</v>
      </c>
      <c r="C172" s="591"/>
      <c r="D172" s="2595"/>
      <c r="E172" s="2338"/>
      <c r="F172" s="2504" t="str">
        <f>INDEX(PT_DIFFERENTIATION_VTAR,MATCH(A172,PT_DIFFERENTIATION_VTAR_ID,0))</f>
        <v>Тариф на техническую воду</v>
      </c>
      <c r="G172" s="2550" t="str">
        <f>INDEX(PT_DIFFERENTIATION_NTAR,MATCH(B172,PT_DIFFERENTIATION_NTAR_ID,0))</f>
        <v/>
      </c>
      <c r="H172" s="2090"/>
      <c r="I172" s="1966"/>
      <c r="J172" s="2000"/>
      <c r="K172" s="2005"/>
      <c r="L172" s="2090" t="s">
        <v>412</v>
      </c>
      <c r="M172" s="563"/>
      <c r="N172" s="556"/>
      <c r="O172" s="1851"/>
      <c r="P172" s="1851"/>
    </row>
    <row s="16676" customFormat="1" customHeight="1" ht="18.75" hidden="1">
      <c r="A173" s="2007"/>
      <c r="B173" s="2007"/>
      <c r="C173" s="591" t="s">
        <v>1169</v>
      </c>
      <c r="D173" s="2595"/>
      <c r="E173" s="2338"/>
      <c r="F173" s="2504"/>
      <c r="G173" s="2550"/>
      <c r="H173" s="1727"/>
      <c r="I173" s="873" t="s">
        <v>1168</v>
      </c>
      <c r="J173" s="793"/>
      <c r="K173" s="1727"/>
      <c r="L173" s="436"/>
      <c r="M173" s="563"/>
      <c r="N173" s="556"/>
      <c r="O173" s="1851"/>
      <c r="P173" s="1851"/>
    </row>
    <row s="16676" customFormat="1" customHeight="1" ht="0.75" hidden="1">
      <c r="A174" s="2007"/>
      <c r="B174" s="2007"/>
      <c r="C174" s="591" t="s">
        <v>1178</v>
      </c>
      <c r="D174" s="2595"/>
      <c r="E174" s="2338"/>
      <c r="F174" s="2504"/>
      <c r="G174" s="622"/>
      <c r="H174" s="1727"/>
      <c r="I174" s="873"/>
      <c r="J174" s="793"/>
      <c r="K174" s="1727"/>
      <c r="L174" s="436"/>
      <c r="M174" s="563"/>
      <c r="N174" s="556"/>
      <c r="O174" s="1851"/>
      <c r="P174" s="1851"/>
    </row>
    <row s="16676" customFormat="1" customHeight="1" ht="18.75" hidden="1">
      <c r="A175" s="2007" t="s">
        <v>283</v>
      </c>
      <c r="B175" s="2007" t="s">
        <v>284</v>
      </c>
      <c r="C175" s="591"/>
      <c r="D175" s="2595"/>
      <c r="E175" s="2338"/>
      <c r="F175" s="2504" t="str">
        <f>INDEX(PT_DIFFERENTIATION_VTAR,MATCH(A175,PT_DIFFERENTIATION_VTAR_ID,0))</f>
        <v>Тариф на транспортировку воды</v>
      </c>
      <c r="G175" s="2550" t="str">
        <f>INDEX(PT_DIFFERENTIATION_NTAR,MATCH(B175,PT_DIFFERENTIATION_NTAR_ID,0))</f>
        <v/>
      </c>
      <c r="H175" s="2090"/>
      <c r="I175" s="1966"/>
      <c r="J175" s="2000"/>
      <c r="K175" s="2005"/>
      <c r="L175" s="2090" t="s">
        <v>412</v>
      </c>
      <c r="M175" s="563"/>
      <c r="N175" s="556"/>
      <c r="O175" s="1851"/>
      <c r="P175" s="1851"/>
    </row>
    <row s="16676" customFormat="1" customHeight="1" ht="18.75" hidden="1">
      <c r="A176" s="2007"/>
      <c r="B176" s="2007"/>
      <c r="C176" s="591" t="s">
        <v>1169</v>
      </c>
      <c r="D176" s="2595"/>
      <c r="E176" s="2338"/>
      <c r="F176" s="2504"/>
      <c r="G176" s="2550"/>
      <c r="H176" s="1727"/>
      <c r="I176" s="873" t="s">
        <v>1168</v>
      </c>
      <c r="J176" s="793"/>
      <c r="K176" s="1727"/>
      <c r="L176" s="436"/>
      <c r="M176" s="563"/>
      <c r="N176" s="556"/>
      <c r="O176" s="1851"/>
      <c r="P176" s="1851"/>
    </row>
    <row s="16676" customFormat="1" customHeight="1" ht="0.75" hidden="1">
      <c r="A177" s="2007"/>
      <c r="B177" s="2007"/>
      <c r="C177" s="591" t="s">
        <v>1178</v>
      </c>
      <c r="D177" s="2595"/>
      <c r="E177" s="2338"/>
      <c r="F177" s="2504"/>
      <c r="G177" s="622"/>
      <c r="H177" s="1727"/>
      <c r="I177" s="873"/>
      <c r="J177" s="793"/>
      <c r="K177" s="1727"/>
      <c r="L177" s="436"/>
      <c r="M177" s="563"/>
      <c r="N177" s="556"/>
      <c r="O177" s="1851"/>
      <c r="P177" s="1851"/>
    </row>
    <row s="16676" customFormat="1" customHeight="1" ht="18.75" hidden="1">
      <c r="A178" s="2007" t="s">
        <v>288</v>
      </c>
      <c r="B178" s="2007" t="s">
        <v>289</v>
      </c>
      <c r="C178" s="591"/>
      <c r="D178" s="2595"/>
      <c r="E178" s="2338"/>
      <c r="F178" s="2504" t="str">
        <f>INDEX(PT_DIFFERENTIATION_VTAR,MATCH(A178,PT_DIFFERENTIATION_VTAR_ID,0))</f>
        <v>Тариф на подвоз воды</v>
      </c>
      <c r="G178" s="2550" t="str">
        <f>INDEX(PT_DIFFERENTIATION_NTAR,MATCH(B178,PT_DIFFERENTIATION_NTAR_ID,0))</f>
        <v/>
      </c>
      <c r="H178" s="2090"/>
      <c r="I178" s="1966"/>
      <c r="J178" s="2000"/>
      <c r="K178" s="2005"/>
      <c r="L178" s="2090" t="s">
        <v>412</v>
      </c>
      <c r="M178" s="563"/>
      <c r="N178" s="556"/>
      <c r="O178" s="1851"/>
      <c r="P178" s="1851"/>
    </row>
    <row s="16676" customFormat="1" customHeight="1" ht="18.75" hidden="1">
      <c r="A179" s="2007"/>
      <c r="B179" s="2007"/>
      <c r="C179" s="591" t="s">
        <v>1169</v>
      </c>
      <c r="D179" s="2595"/>
      <c r="E179" s="2338"/>
      <c r="F179" s="2504"/>
      <c r="G179" s="2550"/>
      <c r="H179" s="1727"/>
      <c r="I179" s="873" t="s">
        <v>1168</v>
      </c>
      <c r="J179" s="793"/>
      <c r="K179" s="1727"/>
      <c r="L179" s="436"/>
      <c r="M179" s="563"/>
      <c r="N179" s="556"/>
      <c r="O179" s="1851"/>
      <c r="P179" s="1851"/>
    </row>
    <row s="16676" customFormat="1" customHeight="1" ht="0.75" hidden="1">
      <c r="A180" s="2007"/>
      <c r="B180" s="2007"/>
      <c r="C180" s="591" t="s">
        <v>1178</v>
      </c>
      <c r="D180" s="2595"/>
      <c r="E180" s="2338"/>
      <c r="F180" s="2504"/>
      <c r="G180" s="622"/>
      <c r="H180" s="1727"/>
      <c r="I180" s="873"/>
      <c r="J180" s="793"/>
      <c r="K180" s="1727"/>
      <c r="L180" s="436"/>
      <c r="M180" s="563"/>
      <c r="N180" s="556"/>
      <c r="O180" s="1851"/>
      <c r="P180" s="1851"/>
    </row>
    <row s="16676" customFormat="1" customHeight="1" ht="18.75" hidden="1">
      <c r="A181" s="2007" t="s">
        <v>293</v>
      </c>
      <c r="B181" s="2007" t="s">
        <v>294</v>
      </c>
      <c r="C181" s="591"/>
      <c r="D181" s="2595"/>
      <c r="E181" s="2338"/>
      <c r="F181" s="2504" t="str">
        <f>INDEX(PT_DIFFERENTIATION_VTAR,MATCH(A181,PT_DIFFERENTIATION_VTAR_ID,0))</f>
        <v>Тариф на подключение (технологическое присоединение) к централизованной системе холодного водоснабжения</v>
      </c>
      <c r="G181" s="2550" t="str">
        <f>INDEX(PT_DIFFERENTIATION_NTAR,MATCH(B181,PT_DIFFERENTIATION_NTAR_ID,0))</f>
        <v/>
      </c>
      <c r="H181" s="2090"/>
      <c r="I181" s="1966"/>
      <c r="J181" s="2000"/>
      <c r="K181" s="2005"/>
      <c r="L181" s="2090" t="s">
        <v>412</v>
      </c>
      <c r="M181" s="563"/>
      <c r="N181" s="556"/>
      <c r="O181" s="1851"/>
      <c r="P181" s="1851"/>
    </row>
    <row s="16676" customFormat="1" customHeight="1" ht="18.75" hidden="1">
      <c r="A182" s="2007"/>
      <c r="B182" s="2007"/>
      <c r="C182" s="591" t="s">
        <v>1169</v>
      </c>
      <c r="D182" s="2595"/>
      <c r="E182" s="2338"/>
      <c r="F182" s="2504"/>
      <c r="G182" s="2550"/>
      <c r="H182" s="1727"/>
      <c r="I182" s="873" t="s">
        <v>1168</v>
      </c>
      <c r="J182" s="793"/>
      <c r="K182" s="1727"/>
      <c r="L182" s="436"/>
      <c r="M182" s="563"/>
      <c r="N182" s="556"/>
      <c r="O182" s="1851"/>
      <c r="P182" s="1851"/>
    </row>
    <row s="16676" customFormat="1" customHeight="1" ht="0.75" hidden="1">
      <c r="A183" s="2007"/>
      <c r="B183" s="2007"/>
      <c r="C183" s="591" t="s">
        <v>1178</v>
      </c>
      <c r="D183" s="2595"/>
      <c r="E183" s="2338"/>
      <c r="F183" s="2504"/>
      <c r="G183" s="622"/>
      <c r="H183" s="1727"/>
      <c r="I183" s="873"/>
      <c r="J183" s="793"/>
      <c r="K183" s="1727"/>
      <c r="L183" s="436"/>
      <c r="M183" s="563"/>
      <c r="N183" s="556"/>
      <c r="O183" s="1851"/>
      <c r="P183" s="1851"/>
    </row>
    <row s="16676" customFormat="1" customHeight="1" ht="18.75">
      <c r="A184" s="2007" t="s">
        <v>301</v>
      </c>
      <c r="B184" s="2007" t="s">
        <v>302</v>
      </c>
      <c r="C184" s="591"/>
      <c r="D184" s="2595"/>
      <c r="E184" s="2338"/>
      <c r="F184" s="2504" t="str">
        <f>INDEX(PT_DIFFERENTIATION_VTAR,MATCH(A184,PT_DIFFERENTIATION_VTAR_ID,0))</f>
        <v>Тариф на горячую воду (горячее водоснабжение)</v>
      </c>
      <c r="G184" s="2550" t="str">
        <f>INDEX(PT_DIFFERENTIATION_NTAR,MATCH(B184,PT_DIFFERENTIATION_NTAR_ID,0))</f>
        <v>Горячее водоснажение (закрытая система)</v>
      </c>
      <c r="H184" s="2090"/>
      <c r="I184" s="22332">
        <v>45658</v>
      </c>
      <c r="J184" s="22333">
        <v>46022</v>
      </c>
      <c r="K184" s="2005">
        <v>467.9887</v>
      </c>
      <c r="L184" s="2090" t="s">
        <v>412</v>
      </c>
      <c r="M184" s="563"/>
      <c r="N184" s="556"/>
      <c r="O184" s="1851"/>
      <c r="P184" s="1851"/>
    </row>
    <row s="22345" customFormat="1" customHeight="1" ht="21.702181498209637">
      <c r="A185" s="22335"/>
      <c r="B185" s="22335"/>
      <c r="C185" s="22336"/>
      <c r="D185" s="22337"/>
      <c r="E185" s="22338"/>
      <c r="F185" s="22338"/>
      <c r="G185" s="22338"/>
      <c r="H185" s="22339" t="s">
        <v>100</v>
      </c>
      <c r="I185" s="22332">
        <v>46023.407175925924</v>
      </c>
      <c r="J185" s="22333">
        <v>46387.40730324074</v>
      </c>
      <c r="K185" s="22340">
        <v>467.9887</v>
      </c>
      <c r="L185" s="22341" t="s">
        <v>412</v>
      </c>
      <c r="M185" s="22342"/>
      <c r="N185" s="22343"/>
      <c r="O185" s="22344"/>
      <c r="P185" s="22344"/>
      <c r="Q185" s="22345"/>
      <c r="R185" s="22345"/>
      <c r="S185" s="22345"/>
      <c r="T185" s="22345"/>
      <c r="U185" s="22345"/>
      <c r="V185" s="22345"/>
      <c r="W185" s="22345"/>
      <c r="X185" s="22345"/>
      <c r="Y185" s="22345"/>
      <c r="Z185" s="22345"/>
      <c r="AA185" s="22345"/>
      <c r="AB185" s="22345"/>
      <c r="AC185" s="22345"/>
      <c r="AD185" s="22345"/>
      <c r="AE185" s="22345"/>
      <c r="AF185" s="22345"/>
      <c r="AG185" s="22345"/>
    </row>
    <row s="22345" customFormat="1" customHeight="1" ht="34.20218149820963">
      <c r="A186" s="22335"/>
      <c r="B186" s="22335"/>
      <c r="C186" s="22336"/>
      <c r="D186" s="22337"/>
      <c r="E186" s="22338"/>
      <c r="F186" s="22338"/>
      <c r="G186" s="22338"/>
      <c r="H186" s="22339" t="s">
        <v>100</v>
      </c>
      <c r="I186" s="22332">
        <v>46388.40746527778</v>
      </c>
      <c r="J186" s="22333">
        <v>46752.40762731482</v>
      </c>
      <c r="K186" s="22340">
        <v>467.9887</v>
      </c>
      <c r="L186" s="22341" t="s">
        <v>412</v>
      </c>
      <c r="M186" s="22342"/>
      <c r="N186" s="22343"/>
      <c r="O186" s="22344"/>
      <c r="P186" s="22344"/>
      <c r="Q186" s="22345"/>
      <c r="R186" s="22345"/>
      <c r="S186" s="22345"/>
      <c r="T186" s="22345"/>
      <c r="U186" s="22345"/>
      <c r="V186" s="22345"/>
      <c r="W186" s="22345"/>
      <c r="X186" s="22345"/>
      <c r="Y186" s="22345"/>
      <c r="Z186" s="22345"/>
      <c r="AA186" s="22345"/>
      <c r="AB186" s="22345"/>
      <c r="AC186" s="22345"/>
      <c r="AD186" s="22345"/>
      <c r="AE186" s="22345"/>
      <c r="AF186" s="22345"/>
      <c r="AG186" s="22345"/>
    </row>
    <row s="22345" customFormat="1" customHeight="1" ht="32.53551483154297">
      <c r="A187" s="22335"/>
      <c r="B187" s="22335"/>
      <c r="C187" s="22336"/>
      <c r="D187" s="22337"/>
      <c r="E187" s="22338"/>
      <c r="F187" s="22338"/>
      <c r="G187" s="22338"/>
      <c r="H187" s="22339" t="s">
        <v>100</v>
      </c>
      <c r="I187" s="22332">
        <v>46753.407858796294</v>
      </c>
      <c r="J187" s="22333">
        <v>47118.407997685186</v>
      </c>
      <c r="K187" s="22340">
        <v>467.9887</v>
      </c>
      <c r="L187" s="22341" t="s">
        <v>412</v>
      </c>
      <c r="M187" s="22342"/>
      <c r="N187" s="22343"/>
      <c r="O187" s="22344"/>
      <c r="P187" s="22344"/>
      <c r="Q187" s="22345"/>
      <c r="R187" s="22345"/>
      <c r="S187" s="22345"/>
      <c r="T187" s="22345"/>
      <c r="U187" s="22345"/>
      <c r="V187" s="22345"/>
      <c r="W187" s="22345"/>
      <c r="X187" s="22345"/>
      <c r="Y187" s="22345"/>
      <c r="Z187" s="22345"/>
      <c r="AA187" s="22345"/>
      <c r="AB187" s="22345"/>
      <c r="AC187" s="22345"/>
      <c r="AD187" s="22345"/>
      <c r="AE187" s="22345"/>
      <c r="AF187" s="22345"/>
      <c r="AG187" s="22345"/>
    </row>
    <row s="16676" customFormat="1" customHeight="1" ht="18.75">
      <c r="A188" s="2007"/>
      <c r="B188" s="2007"/>
      <c r="C188" s="591" t="s">
        <v>1169</v>
      </c>
      <c r="D188" s="2595"/>
      <c r="E188" s="2338"/>
      <c r="F188" s="2504"/>
      <c r="G188" s="2550"/>
      <c r="H188" s="1727"/>
      <c r="I188" s="873" t="s">
        <v>1168</v>
      </c>
      <c r="J188" s="793"/>
      <c r="K188" s="1727"/>
      <c r="L188" s="436"/>
      <c r="M188" s="563"/>
      <c r="N188" s="556"/>
      <c r="O188" s="1851"/>
      <c r="P188" s="1851"/>
    </row>
    <row s="16676" customFormat="1" customHeight="1" ht="0.75">
      <c r="A189" s="2007"/>
      <c r="B189" s="2007"/>
      <c r="C189" s="591" t="s">
        <v>1178</v>
      </c>
      <c r="D189" s="2595"/>
      <c r="E189" s="2338"/>
      <c r="F189" s="2504"/>
      <c r="G189" s="622"/>
      <c r="H189" s="1727"/>
      <c r="I189" s="873"/>
      <c r="J189" s="793"/>
      <c r="K189" s="1727"/>
      <c r="L189" s="436"/>
      <c r="M189" s="563"/>
      <c r="N189" s="556"/>
      <c r="O189" s="1851"/>
      <c r="P189" s="1851"/>
    </row>
    <row s="16676" customFormat="1" customHeight="1" ht="18.75" hidden="1">
      <c r="A190" s="2007" t="s">
        <v>361</v>
      </c>
      <c r="B190" s="2007" t="s">
        <v>362</v>
      </c>
      <c r="C190" s="591"/>
      <c r="D190" s="2595"/>
      <c r="E190" s="2338"/>
      <c r="F190" s="2504" t="str">
        <f>INDEX(PT_DIFFERENTIATION_VTAR,MATCH(A190,PT_DIFFERENTIATION_VTAR_ID,0))</f>
        <v>Тариф на транспортировку горячей воды</v>
      </c>
      <c r="G190" s="2550" t="str">
        <f>INDEX(PT_DIFFERENTIATION_NTAR,MATCH(B190,PT_DIFFERENTIATION_NTAR_ID,0))</f>
        <v/>
      </c>
      <c r="H190" s="2090"/>
      <c r="I190" s="1966"/>
      <c r="J190" s="2000"/>
      <c r="K190" s="2005"/>
      <c r="L190" s="2090" t="s">
        <v>412</v>
      </c>
      <c r="M190" s="563"/>
      <c r="N190" s="556"/>
      <c r="O190" s="1851"/>
      <c r="P190" s="1851"/>
    </row>
    <row s="16676" customFormat="1" customHeight="1" ht="18.75" hidden="1">
      <c r="A191" s="2007"/>
      <c r="B191" s="2007"/>
      <c r="C191" s="591" t="s">
        <v>1169</v>
      </c>
      <c r="D191" s="2595"/>
      <c r="E191" s="2338"/>
      <c r="F191" s="2504"/>
      <c r="G191" s="2550"/>
      <c r="H191" s="1727"/>
      <c r="I191" s="873" t="s">
        <v>1168</v>
      </c>
      <c r="J191" s="793"/>
      <c r="K191" s="1727"/>
      <c r="L191" s="436"/>
      <c r="M191" s="563"/>
      <c r="N191" s="556"/>
      <c r="O191" s="1851"/>
      <c r="P191" s="1851"/>
    </row>
    <row s="16676" customFormat="1" customHeight="1" ht="0.75" hidden="1">
      <c r="A192" s="2007"/>
      <c r="B192" s="2007"/>
      <c r="C192" s="591" t="s">
        <v>1178</v>
      </c>
      <c r="D192" s="2595"/>
      <c r="E192" s="2338"/>
      <c r="F192" s="2504"/>
      <c r="G192" s="622"/>
      <c r="H192" s="1727"/>
      <c r="I192" s="873"/>
      <c r="J192" s="793"/>
      <c r="K192" s="1727"/>
      <c r="L192" s="436"/>
      <c r="M192" s="563"/>
      <c r="N192" s="556"/>
      <c r="O192" s="1851"/>
      <c r="P192" s="1851"/>
    </row>
    <row s="16676" customFormat="1" customHeight="1" ht="18.75" hidden="1">
      <c r="A193" s="2007" t="s">
        <v>366</v>
      </c>
      <c r="B193" s="2007" t="s">
        <v>367</v>
      </c>
      <c r="C193" s="591"/>
      <c r="D193" s="2595"/>
      <c r="E193" s="2338"/>
      <c r="F193" s="2504" t="str">
        <f>INDEX(PT_DIFFERENTIATION_VTAR,MATCH(A193,PT_DIFFERENTIATION_VTAR_ID,0))</f>
        <v>Тариф на подключение (технологическое присоединение) к централизованной системе горячего водоснабжения</v>
      </c>
      <c r="G193" s="2550" t="str">
        <f>INDEX(PT_DIFFERENTIATION_NTAR,MATCH(B193,PT_DIFFERENTIATION_NTAR_ID,0))</f>
        <v/>
      </c>
      <c r="H193" s="2090"/>
      <c r="I193" s="1966"/>
      <c r="J193" s="2000"/>
      <c r="K193" s="2005"/>
      <c r="L193" s="2090" t="s">
        <v>412</v>
      </c>
      <c r="M193" s="563"/>
      <c r="N193" s="556"/>
      <c r="O193" s="1851"/>
      <c r="P193" s="1851"/>
    </row>
    <row s="16676" customFormat="1" customHeight="1" ht="18.75" hidden="1">
      <c r="A194" s="2007"/>
      <c r="B194" s="2007"/>
      <c r="C194" s="591" t="s">
        <v>1169</v>
      </c>
      <c r="D194" s="2595"/>
      <c r="E194" s="2338"/>
      <c r="F194" s="2504"/>
      <c r="G194" s="2550"/>
      <c r="H194" s="1727"/>
      <c r="I194" s="873" t="s">
        <v>1168</v>
      </c>
      <c r="J194" s="793"/>
      <c r="K194" s="1727"/>
      <c r="L194" s="436"/>
      <c r="M194" s="563"/>
      <c r="N194" s="556"/>
      <c r="O194" s="1851"/>
      <c r="P194" s="1851"/>
    </row>
    <row s="16676" customFormat="1" customHeight="1" ht="0.75" hidden="1">
      <c r="A195" s="2007"/>
      <c r="B195" s="2007"/>
      <c r="C195" s="591" t="s">
        <v>1178</v>
      </c>
      <c r="D195" s="2595"/>
      <c r="E195" s="2338"/>
      <c r="F195" s="2504"/>
      <c r="G195" s="622"/>
      <c r="H195" s="1727"/>
      <c r="I195" s="873"/>
      <c r="J195" s="793"/>
      <c r="K195" s="1727"/>
      <c r="L195" s="436"/>
      <c r="M195" s="563"/>
      <c r="N195" s="556"/>
      <c r="O195" s="1851"/>
      <c r="P195" s="1851"/>
    </row>
    <row s="16676" customFormat="1" customHeight="1" ht="18.75" hidden="1">
      <c r="A196" s="2007" t="s">
        <v>371</v>
      </c>
      <c r="B196" s="2007" t="s">
        <v>372</v>
      </c>
      <c r="C196" s="591"/>
      <c r="D196" s="2595"/>
      <c r="E196" s="2338"/>
      <c r="F196" s="2504" t="str">
        <f>INDEX(PT_DIFFERENTIATION_VTAR,MATCH(A196,PT_DIFFERENTIATION_VTAR_ID,0))</f>
        <v>Тариф на водоотведение</v>
      </c>
      <c r="G196" s="2550" t="str">
        <f>INDEX(PT_DIFFERENTIATION_NTAR,MATCH(B196,PT_DIFFERENTIATION_NTAR_ID,0))</f>
        <v/>
      </c>
      <c r="H196" s="2090"/>
      <c r="I196" s="1966"/>
      <c r="J196" s="2000"/>
      <c r="K196" s="2005"/>
      <c r="L196" s="2090" t="s">
        <v>412</v>
      </c>
      <c r="M196" s="563"/>
      <c r="N196" s="556"/>
      <c r="O196" s="1851"/>
      <c r="P196" s="1851"/>
    </row>
    <row s="16676" customFormat="1" customHeight="1" ht="18.75" hidden="1">
      <c r="A197" s="2007"/>
      <c r="B197" s="2007"/>
      <c r="C197" s="591" t="s">
        <v>1169</v>
      </c>
      <c r="D197" s="2595"/>
      <c r="E197" s="2338"/>
      <c r="F197" s="2504"/>
      <c r="G197" s="2550"/>
      <c r="H197" s="1727"/>
      <c r="I197" s="873" t="s">
        <v>1168</v>
      </c>
      <c r="J197" s="793"/>
      <c r="K197" s="1727"/>
      <c r="L197" s="436"/>
      <c r="M197" s="563"/>
      <c r="N197" s="556"/>
      <c r="O197" s="1851"/>
      <c r="P197" s="1851"/>
    </row>
    <row s="16676" customFormat="1" customHeight="1" ht="0.75" hidden="1">
      <c r="A198" s="2007"/>
      <c r="B198" s="2007"/>
      <c r="C198" s="591" t="s">
        <v>1178</v>
      </c>
      <c r="D198" s="2595"/>
      <c r="E198" s="2338"/>
      <c r="F198" s="2504"/>
      <c r="G198" s="622"/>
      <c r="H198" s="1727"/>
      <c r="I198" s="873"/>
      <c r="J198" s="793"/>
      <c r="K198" s="1727"/>
      <c r="L198" s="436"/>
      <c r="M198" s="563"/>
      <c r="N198" s="556"/>
      <c r="O198" s="1851"/>
      <c r="P198" s="1851"/>
    </row>
    <row s="16676" customFormat="1" customHeight="1" ht="18.75" hidden="1">
      <c r="A199" s="2007" t="s">
        <v>376</v>
      </c>
      <c r="B199" s="2007" t="s">
        <v>377</v>
      </c>
      <c r="C199" s="591"/>
      <c r="D199" s="2595"/>
      <c r="E199" s="2338"/>
      <c r="F199" s="2504" t="str">
        <f>INDEX(PT_DIFFERENTIATION_VTAR,MATCH(A199,PT_DIFFERENTIATION_VTAR_ID,0))</f>
        <v>Тариф на транспортировку сточных вод</v>
      </c>
      <c r="G199" s="2550" t="str">
        <f>INDEX(PT_DIFFERENTIATION_NTAR,MATCH(B199,PT_DIFFERENTIATION_NTAR_ID,0))</f>
        <v/>
      </c>
      <c r="H199" s="2090"/>
      <c r="I199" s="1966"/>
      <c r="J199" s="2000"/>
      <c r="K199" s="2005"/>
      <c r="L199" s="2090" t="s">
        <v>412</v>
      </c>
      <c r="M199" s="563"/>
      <c r="N199" s="556"/>
      <c r="O199" s="1851"/>
      <c r="P199" s="1851"/>
    </row>
    <row s="16676" customFormat="1" customHeight="1" ht="18.75" hidden="1">
      <c r="A200" s="2007"/>
      <c r="B200" s="2007"/>
      <c r="C200" s="591" t="s">
        <v>1169</v>
      </c>
      <c r="D200" s="2595"/>
      <c r="E200" s="2338"/>
      <c r="F200" s="2504"/>
      <c r="G200" s="2550"/>
      <c r="H200" s="1727"/>
      <c r="I200" s="873" t="s">
        <v>1168</v>
      </c>
      <c r="J200" s="793"/>
      <c r="K200" s="1727"/>
      <c r="L200" s="436"/>
      <c r="M200" s="563"/>
      <c r="N200" s="556"/>
      <c r="O200" s="1851"/>
      <c r="P200" s="1851"/>
    </row>
    <row s="16676" customFormat="1" customHeight="1" ht="0.75" hidden="1">
      <c r="A201" s="2007"/>
      <c r="B201" s="2007"/>
      <c r="C201" s="591" t="s">
        <v>1178</v>
      </c>
      <c r="D201" s="2595"/>
      <c r="E201" s="2338"/>
      <c r="F201" s="2504"/>
      <c r="G201" s="622"/>
      <c r="H201" s="1727"/>
      <c r="I201" s="873"/>
      <c r="J201" s="793"/>
      <c r="K201" s="1727"/>
      <c r="L201" s="436"/>
      <c r="M201" s="563"/>
      <c r="N201" s="556"/>
      <c r="O201" s="1851"/>
      <c r="P201" s="1851"/>
    </row>
    <row s="16676" customFormat="1" customHeight="1" ht="18.75" hidden="1">
      <c r="A202" s="2007" t="s">
        <v>381</v>
      </c>
      <c r="B202" s="2007" t="s">
        <v>382</v>
      </c>
      <c r="C202" s="591"/>
      <c r="D202" s="2595"/>
      <c r="E202" s="2338"/>
      <c r="F202" s="2504" t="str">
        <f>INDEX(PT_DIFFERENTIATION_VTAR,MATCH(A202,PT_DIFFERENTIATION_VTAR_ID,0))</f>
        <v>Тариф на подключение (технологическое присоединение) к централизованной системе водоотведения</v>
      </c>
      <c r="G202" s="2550" t="str">
        <f>INDEX(PT_DIFFERENTIATION_NTAR,MATCH(B202,PT_DIFFERENTIATION_NTAR_ID,0))</f>
        <v/>
      </c>
      <c r="H202" s="2090"/>
      <c r="I202" s="1966"/>
      <c r="J202" s="2000"/>
      <c r="K202" s="2005"/>
      <c r="L202" s="2090" t="s">
        <v>412</v>
      </c>
      <c r="M202" s="563"/>
      <c r="N202" s="556"/>
      <c r="O202" s="1851"/>
      <c r="P202" s="1851"/>
    </row>
    <row s="16676" customFormat="1" customHeight="1" ht="18.75" hidden="1">
      <c r="A203" s="2007"/>
      <c r="B203" s="2007"/>
      <c r="C203" s="591" t="s">
        <v>1169</v>
      </c>
      <c r="D203" s="2595"/>
      <c r="E203" s="2338"/>
      <c r="F203" s="2504"/>
      <c r="G203" s="2550"/>
      <c r="H203" s="1727"/>
      <c r="I203" s="873" t="s">
        <v>1168</v>
      </c>
      <c r="J203" s="793"/>
      <c r="K203" s="1727"/>
      <c r="L203" s="436"/>
      <c r="M203" s="563"/>
      <c r="N203" s="556"/>
      <c r="O203" s="1851"/>
      <c r="P203" s="1851"/>
    </row>
    <row s="16676" customFormat="1" customHeight="1" ht="0.75">
      <c r="A204" s="2007"/>
      <c r="B204" s="2007"/>
      <c r="C204" s="591" t="s">
        <v>1178</v>
      </c>
      <c r="D204" s="2595"/>
      <c r="E204" s="2338"/>
      <c r="F204" s="2504"/>
      <c r="G204" s="622"/>
      <c r="H204" s="1727"/>
      <c r="I204" s="873"/>
      <c r="J204" s="793"/>
      <c r="K204" s="1727"/>
      <c r="L204" s="436"/>
      <c r="M204" s="563"/>
      <c r="N204" s="556"/>
      <c r="O204" s="1851"/>
      <c r="P204" s="1851"/>
    </row>
    <row customHeight="1" ht="26.25">
      <c r="A205" s="2007"/>
      <c r="B205" s="2007"/>
      <c r="D205" s="598"/>
      <c r="E205" s="370" t="s">
        <v>113</v>
      </c>
      <c r="F205" s="258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5" s="2587"/>
      <c r="H205" s="2587"/>
      <c r="I205" s="2587"/>
      <c r="J205" s="2587"/>
      <c r="K205" s="2587"/>
      <c r="L205" s="2587"/>
      <c r="M205" s="519"/>
      <c r="N205" s="556"/>
    </row>
    <row s="16676" customFormat="1" customHeight="1" ht="60.75" hidden="1">
      <c r="A206" s="2007" t="s">
        <v>205</v>
      </c>
      <c r="B206" s="2007" t="s">
        <v>206</v>
      </c>
      <c r="C206" s="591"/>
      <c r="D206" s="2595"/>
      <c r="E206" s="2338"/>
      <c r="F206" s="2504" t="str">
        <f>INDEX(PT_DIFFERENTIATION_VTAR,MATCH(A206,PT_DIFFERENTIATION_VTAR_ID,0))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6" s="2550" t="str">
        <f>INDEX(PT_DIFFERENTIATION_NTAR,MATCH(B206,PT_DIFFERENTIATION_NTAR_ID,0))</f>
        <v/>
      </c>
      <c r="H206" s="2090"/>
      <c r="I206" s="1966"/>
      <c r="J206" s="2000"/>
      <c r="K206" s="2005"/>
      <c r="L206" s="2090" t="s">
        <v>412</v>
      </c>
      <c r="M206" s="22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6" s="556"/>
      <c r="O206" s="1851"/>
      <c r="P206" s="1851"/>
    </row>
    <row s="16676" customFormat="1" customHeight="1" ht="18.75" hidden="1">
      <c r="A207" s="2007"/>
      <c r="B207" s="2007"/>
      <c r="C207" s="591" t="s">
        <v>1169</v>
      </c>
      <c r="D207" s="2595"/>
      <c r="E207" s="2338"/>
      <c r="F207" s="2504"/>
      <c r="G207" s="2550"/>
      <c r="H207" s="1727"/>
      <c r="I207" s="873" t="s">
        <v>1168</v>
      </c>
      <c r="J207" s="793"/>
      <c r="K207" s="1727"/>
      <c r="L207" s="436"/>
      <c r="M207" s="2298"/>
      <c r="N207" s="556"/>
      <c r="O207" s="1851"/>
      <c r="P207" s="1851"/>
    </row>
    <row s="16676" customFormat="1" customHeight="1" ht="0.75" hidden="1">
      <c r="A208" s="2007"/>
      <c r="B208" s="2007"/>
      <c r="C208" s="591" t="s">
        <v>1178</v>
      </c>
      <c r="D208" s="2595"/>
      <c r="E208" s="2338"/>
      <c r="F208" s="2504"/>
      <c r="G208" s="622"/>
      <c r="H208" s="1727"/>
      <c r="I208" s="873"/>
      <c r="J208" s="793"/>
      <c r="K208" s="1727"/>
      <c r="L208" s="436"/>
      <c r="M208" s="2298"/>
      <c r="N208" s="556"/>
      <c r="O208" s="1851"/>
      <c r="P208" s="1851"/>
    </row>
    <row s="16676" customFormat="1" customHeight="1" ht="45" hidden="1">
      <c r="A209" s="2007" t="s">
        <v>211</v>
      </c>
      <c r="B209" s="2007" t="s">
        <v>212</v>
      </c>
      <c r="C209" s="591"/>
      <c r="D209" s="2595"/>
      <c r="E209" s="2338"/>
      <c r="F209" s="2504" t="str">
        <f>INDEX(PT_DIFFERENTIATION_VTAR,MATCH(A209,PT_DIFFERENTIATION_VTAR_ID,0))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9" s="2550" t="str">
        <f>INDEX(PT_DIFFERENTIATION_NTAR,MATCH(B209,PT_DIFFERENTIATION_NTAR_ID,0))</f>
        <v/>
      </c>
      <c r="H209" s="2090"/>
      <c r="I209" s="1966"/>
      <c r="J209" s="2000"/>
      <c r="K209" s="2005"/>
      <c r="L209" s="2090" t="s">
        <v>412</v>
      </c>
      <c r="M209" s="2299"/>
      <c r="N209" s="556"/>
      <c r="O209" s="1851"/>
      <c r="P209" s="1851"/>
    </row>
    <row s="16676" customFormat="1" customHeight="1" ht="18.75" hidden="1">
      <c r="A210" s="2007"/>
      <c r="B210" s="2007"/>
      <c r="C210" s="591" t="s">
        <v>1169</v>
      </c>
      <c r="D210" s="2595"/>
      <c r="E210" s="2338"/>
      <c r="F210" s="2504"/>
      <c r="G210" s="2550"/>
      <c r="H210" s="1727"/>
      <c r="I210" s="873" t="s">
        <v>1168</v>
      </c>
      <c r="J210" s="793"/>
      <c r="K210" s="1727"/>
      <c r="L210" s="436"/>
      <c r="M210" s="2089"/>
      <c r="N210" s="556"/>
      <c r="O210" s="1851"/>
      <c r="P210" s="1851"/>
    </row>
    <row s="16676" customFormat="1" customHeight="1" ht="0.75" hidden="1">
      <c r="A211" s="2007"/>
      <c r="B211" s="2007"/>
      <c r="C211" s="591" t="s">
        <v>1178</v>
      </c>
      <c r="D211" s="2595"/>
      <c r="E211" s="2338"/>
      <c r="F211" s="2504"/>
      <c r="G211" s="622"/>
      <c r="H211" s="1727"/>
      <c r="I211" s="873"/>
      <c r="J211" s="793"/>
      <c r="K211" s="1727"/>
      <c r="L211" s="436"/>
      <c r="M211" s="563"/>
      <c r="N211" s="556"/>
      <c r="O211" s="1851"/>
      <c r="P211" s="1851"/>
    </row>
    <row s="16676" customFormat="1" customHeight="1" ht="45" hidden="1">
      <c r="A212" s="2007" t="s">
        <v>217</v>
      </c>
      <c r="B212" s="2007" t="s">
        <v>218</v>
      </c>
      <c r="C212" s="591"/>
      <c r="D212" s="2595"/>
      <c r="E212" s="2338"/>
      <c r="F212" s="2504" t="str">
        <f>INDEX(PT_DIFFERENTIATION_VTAR,MATCH(A212,PT_DIFFERENTIATION_VTAR_ID,0))</f>
        <v>Тарифы на теплоноситель, поставляемый теплоснабжающими организациями потребителям, другим теплоснабжающим организациям</v>
      </c>
      <c r="G212" s="2550" t="str">
        <f>INDEX(PT_DIFFERENTIATION_NTAR,MATCH(B212,PT_DIFFERENTIATION_NTAR_ID,0))</f>
        <v/>
      </c>
      <c r="H212" s="2090"/>
      <c r="I212" s="1966"/>
      <c r="J212" s="2000"/>
      <c r="K212" s="2005"/>
      <c r="L212" s="2090" t="s">
        <v>412</v>
      </c>
      <c r="M212" s="563"/>
      <c r="N212" s="556"/>
      <c r="O212" s="1851"/>
      <c r="P212" s="1851"/>
    </row>
    <row s="16676" customFormat="1" customHeight="1" ht="18.75" hidden="1">
      <c r="A213" s="2007"/>
      <c r="B213" s="2007"/>
      <c r="C213" s="591" t="s">
        <v>1169</v>
      </c>
      <c r="D213" s="2595"/>
      <c r="E213" s="2338"/>
      <c r="F213" s="2504"/>
      <c r="G213" s="2550"/>
      <c r="H213" s="1727"/>
      <c r="I213" s="873" t="s">
        <v>1168</v>
      </c>
      <c r="J213" s="793"/>
      <c r="K213" s="1727"/>
      <c r="L213" s="436"/>
      <c r="M213" s="563"/>
      <c r="N213" s="556"/>
      <c r="O213" s="1851"/>
      <c r="P213" s="1851"/>
    </row>
    <row s="16676" customFormat="1" customHeight="1" ht="0.75" hidden="1">
      <c r="A214" s="2007"/>
      <c r="B214" s="2007"/>
      <c r="C214" s="591" t="s">
        <v>1178</v>
      </c>
      <c r="D214" s="2595"/>
      <c r="E214" s="2338"/>
      <c r="F214" s="2504"/>
      <c r="G214" s="622"/>
      <c r="H214" s="1727"/>
      <c r="I214" s="873"/>
      <c r="J214" s="793"/>
      <c r="K214" s="1727"/>
      <c r="L214" s="436"/>
      <c r="M214" s="563"/>
      <c r="N214" s="556"/>
      <c r="O214" s="1851"/>
      <c r="P214" s="1851"/>
    </row>
    <row s="16676" customFormat="1" customHeight="1" ht="45" hidden="1">
      <c r="A215" s="2007" t="s">
        <v>223</v>
      </c>
      <c r="B215" s="2007" t="s">
        <v>224</v>
      </c>
      <c r="C215" s="591"/>
      <c r="D215" s="2595"/>
      <c r="E215" s="2338"/>
      <c r="F215" s="2504" t="str">
        <f>INDEX(PT_DIFFERENTIATION_VTAR,MATCH(A215,PT_DIFFERENTIATION_VTAR_ID,0))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5" s="2550" t="str">
        <f>INDEX(PT_DIFFERENTIATION_NTAR,MATCH(B215,PT_DIFFERENTIATION_NTAR_ID,0))</f>
        <v/>
      </c>
      <c r="H215" s="2090"/>
      <c r="I215" s="1966"/>
      <c r="J215" s="2000"/>
      <c r="K215" s="2005"/>
      <c r="L215" s="2090" t="s">
        <v>412</v>
      </c>
      <c r="M215" s="563"/>
      <c r="N215" s="556"/>
      <c r="O215" s="1851"/>
      <c r="P215" s="1851"/>
    </row>
    <row s="16676" customFormat="1" customHeight="1" ht="18.75" hidden="1">
      <c r="A216" s="2007"/>
      <c r="B216" s="2007"/>
      <c r="C216" s="591" t="s">
        <v>1169</v>
      </c>
      <c r="D216" s="2595"/>
      <c r="E216" s="2338"/>
      <c r="F216" s="2504"/>
      <c r="G216" s="2550"/>
      <c r="H216" s="1727"/>
      <c r="I216" s="873" t="s">
        <v>1168</v>
      </c>
      <c r="J216" s="793"/>
      <c r="K216" s="1727"/>
      <c r="L216" s="436"/>
      <c r="M216" s="563"/>
      <c r="N216" s="556"/>
      <c r="O216" s="1851"/>
      <c r="P216" s="1851"/>
    </row>
    <row s="16676" customFormat="1" customHeight="1" ht="0.75" hidden="1">
      <c r="A217" s="2007"/>
      <c r="B217" s="2007"/>
      <c r="C217" s="591" t="s">
        <v>1178</v>
      </c>
      <c r="D217" s="2595"/>
      <c r="E217" s="2338"/>
      <c r="F217" s="2504"/>
      <c r="G217" s="622"/>
      <c r="H217" s="1727"/>
      <c r="I217" s="873"/>
      <c r="J217" s="793"/>
      <c r="K217" s="1727"/>
      <c r="L217" s="436"/>
      <c r="M217" s="563"/>
      <c r="N217" s="556"/>
      <c r="O217" s="1851"/>
      <c r="P217" s="1851"/>
    </row>
    <row s="16676" customFormat="1" customHeight="1" ht="18.75" hidden="1">
      <c r="A218" s="2007" t="s">
        <v>229</v>
      </c>
      <c r="B218" s="2007" t="s">
        <v>230</v>
      </c>
      <c r="C218" s="591"/>
      <c r="D218" s="2595"/>
      <c r="E218" s="2338"/>
      <c r="F218" s="2504" t="str">
        <f>INDEX(PT_DIFFERENTIATION_VTAR,MATCH(A218,PT_DIFFERENTIATION_VTAR_ID,0))</f>
        <v>Тарифы на услуги по передаче тепловой энергии</v>
      </c>
      <c r="G218" s="2550" t="str">
        <f>INDEX(PT_DIFFERENTIATION_NTAR,MATCH(B218,PT_DIFFERENTIATION_NTAR_ID,0))</f>
        <v/>
      </c>
      <c r="H218" s="2090"/>
      <c r="I218" s="1966"/>
      <c r="J218" s="2000"/>
      <c r="K218" s="2005"/>
      <c r="L218" s="2090" t="s">
        <v>412</v>
      </c>
      <c r="M218" s="563"/>
      <c r="N218" s="556"/>
      <c r="O218" s="1851"/>
      <c r="P218" s="1851"/>
    </row>
    <row s="16676" customFormat="1" customHeight="1" ht="18.75" hidden="1">
      <c r="A219" s="2007"/>
      <c r="B219" s="2007"/>
      <c r="C219" s="591" t="s">
        <v>1169</v>
      </c>
      <c r="D219" s="2595"/>
      <c r="E219" s="2338"/>
      <c r="F219" s="2504"/>
      <c r="G219" s="2550"/>
      <c r="H219" s="1727"/>
      <c r="I219" s="873" t="s">
        <v>1168</v>
      </c>
      <c r="J219" s="793"/>
      <c r="K219" s="1727"/>
      <c r="L219" s="436"/>
      <c r="M219" s="563"/>
      <c r="N219" s="556"/>
      <c r="O219" s="1851"/>
      <c r="P219" s="1851"/>
    </row>
    <row s="16676" customFormat="1" customHeight="1" ht="0.75" hidden="1">
      <c r="A220" s="2007"/>
      <c r="B220" s="2007"/>
      <c r="C220" s="591" t="s">
        <v>1178</v>
      </c>
      <c r="D220" s="2595"/>
      <c r="E220" s="2338"/>
      <c r="F220" s="2504"/>
      <c r="G220" s="622"/>
      <c r="H220" s="1727"/>
      <c r="I220" s="873"/>
      <c r="J220" s="793"/>
      <c r="K220" s="1727"/>
      <c r="L220" s="436"/>
      <c r="M220" s="563"/>
      <c r="N220" s="556"/>
      <c r="O220" s="1851"/>
      <c r="P220" s="1851"/>
    </row>
    <row s="16676" customFormat="1" customHeight="1" ht="18.75" hidden="1">
      <c r="A221" s="2007" t="s">
        <v>235</v>
      </c>
      <c r="B221" s="2007" t="s">
        <v>236</v>
      </c>
      <c r="C221" s="591"/>
      <c r="D221" s="2595"/>
      <c r="E221" s="2338"/>
      <c r="F221" s="2504" t="str">
        <f>INDEX(PT_DIFFERENTIATION_VTAR,MATCH(A221,PT_DIFFERENTIATION_VTAR_ID,0))</f>
        <v>Тарифы на услуги по передаче теплоносителя</v>
      </c>
      <c r="G221" s="2550" t="str">
        <f>INDEX(PT_DIFFERENTIATION_NTAR,MATCH(B221,PT_DIFFERENTIATION_NTAR_ID,0))</f>
        <v/>
      </c>
      <c r="H221" s="2090"/>
      <c r="I221" s="1966"/>
      <c r="J221" s="2000"/>
      <c r="K221" s="2005"/>
      <c r="L221" s="2090" t="s">
        <v>412</v>
      </c>
      <c r="M221" s="563"/>
      <c r="N221" s="556"/>
      <c r="O221" s="1851"/>
      <c r="P221" s="1851"/>
    </row>
    <row s="16676" customFormat="1" customHeight="1" ht="18.75" hidden="1">
      <c r="A222" s="2007"/>
      <c r="B222" s="2007"/>
      <c r="C222" s="591" t="s">
        <v>1169</v>
      </c>
      <c r="D222" s="2595"/>
      <c r="E222" s="2338"/>
      <c r="F222" s="2504"/>
      <c r="G222" s="2550"/>
      <c r="H222" s="1727"/>
      <c r="I222" s="873" t="s">
        <v>1168</v>
      </c>
      <c r="J222" s="793"/>
      <c r="K222" s="1727"/>
      <c r="L222" s="436"/>
      <c r="M222" s="563"/>
      <c r="N222" s="556"/>
      <c r="O222" s="1851"/>
      <c r="P222" s="1851"/>
    </row>
    <row s="16676" customFormat="1" customHeight="1" ht="0.75" hidden="1">
      <c r="A223" s="2007"/>
      <c r="B223" s="2007"/>
      <c r="C223" s="591" t="s">
        <v>1178</v>
      </c>
      <c r="D223" s="2595"/>
      <c r="E223" s="2338"/>
      <c r="F223" s="2504"/>
      <c r="G223" s="622"/>
      <c r="H223" s="1727"/>
      <c r="I223" s="873"/>
      <c r="J223" s="793"/>
      <c r="K223" s="1727"/>
      <c r="L223" s="436"/>
      <c r="M223" s="563"/>
      <c r="N223" s="556"/>
      <c r="O223" s="1851"/>
      <c r="P223" s="1851"/>
    </row>
    <row s="16676" customFormat="1" customHeight="1" ht="18.75" hidden="1">
      <c r="A224" s="2007" t="s">
        <v>241</v>
      </c>
      <c r="B224" s="2007" t="s">
        <v>242</v>
      </c>
      <c r="C224" s="591"/>
      <c r="D224" s="2595"/>
      <c r="E224" s="2338"/>
      <c r="F224" s="2504" t="str">
        <f>INDEX(PT_DIFFERENTIATION_VTAR,MATCH(A224,PT_DIFFERENTIATION_VTAR_ID,0))</f>
        <v>Плата за услуги по поддержанию резервной тепловой мощности при отсутствии потребления тепловой энергии</v>
      </c>
      <c r="G224" s="2550" t="str">
        <f>INDEX(PT_DIFFERENTIATION_NTAR,MATCH(B224,PT_DIFFERENTIATION_NTAR_ID,0))</f>
        <v/>
      </c>
      <c r="H224" s="2090"/>
      <c r="I224" s="1966"/>
      <c r="J224" s="2000"/>
      <c r="K224" s="2005"/>
      <c r="L224" s="2090" t="s">
        <v>412</v>
      </c>
      <c r="M224" s="563"/>
      <c r="N224" s="556"/>
      <c r="O224" s="1851"/>
      <c r="P224" s="1851"/>
    </row>
    <row s="16676" customFormat="1" customHeight="1" ht="18.75" hidden="1">
      <c r="A225" s="2007"/>
      <c r="B225" s="2007"/>
      <c r="C225" s="591" t="s">
        <v>1169</v>
      </c>
      <c r="D225" s="2595"/>
      <c r="E225" s="2338"/>
      <c r="F225" s="2504"/>
      <c r="G225" s="2550"/>
      <c r="H225" s="1727"/>
      <c r="I225" s="873" t="s">
        <v>1168</v>
      </c>
      <c r="J225" s="793"/>
      <c r="K225" s="1727"/>
      <c r="L225" s="436"/>
      <c r="M225" s="563"/>
      <c r="N225" s="556"/>
      <c r="O225" s="1851"/>
      <c r="P225" s="1851"/>
    </row>
    <row s="16676" customFormat="1" customHeight="1" ht="0.75" hidden="1">
      <c r="A226" s="2007"/>
      <c r="B226" s="2007"/>
      <c r="C226" s="591" t="s">
        <v>1178</v>
      </c>
      <c r="D226" s="2595"/>
      <c r="E226" s="2338"/>
      <c r="F226" s="2504"/>
      <c r="G226" s="622"/>
      <c r="H226" s="1727"/>
      <c r="I226" s="873"/>
      <c r="J226" s="793"/>
      <c r="K226" s="1727"/>
      <c r="L226" s="436"/>
      <c r="M226" s="563"/>
      <c r="N226" s="556"/>
      <c r="O226" s="1851"/>
      <c r="P226" s="1851"/>
    </row>
    <row s="16676" customFormat="1" customHeight="1" ht="18.75" hidden="1">
      <c r="A227" s="2007" t="s">
        <v>247</v>
      </c>
      <c r="B227" s="2007" t="s">
        <v>248</v>
      </c>
      <c r="C227" s="591"/>
      <c r="D227" s="2595"/>
      <c r="E227" s="2338"/>
      <c r="F227" s="2504" t="str">
        <f>INDEX(PT_DIFFERENTIATION_VTAR,MATCH(A227,PT_DIFFERENTIATION_VTAR_ID,0))</f>
        <v>Плата за подключение (технологическое присоединение) к системе теплоснабжения</v>
      </c>
      <c r="G227" s="2550" t="str">
        <f>INDEX(PT_DIFFERENTIATION_NTAR,MATCH(B227,PT_DIFFERENTIATION_NTAR_ID,0))</f>
        <v/>
      </c>
      <c r="H227" s="2090"/>
      <c r="I227" s="1966"/>
      <c r="J227" s="2000"/>
      <c r="K227" s="2005"/>
      <c r="L227" s="2090" t="s">
        <v>412</v>
      </c>
      <c r="M227" s="563"/>
      <c r="N227" s="556"/>
      <c r="O227" s="1851"/>
      <c r="P227" s="1851"/>
    </row>
    <row s="16676" customFormat="1" customHeight="1" ht="18.75" hidden="1">
      <c r="A228" s="2007"/>
      <c r="B228" s="2007"/>
      <c r="C228" s="591" t="s">
        <v>1169</v>
      </c>
      <c r="D228" s="2595"/>
      <c r="E228" s="2338"/>
      <c r="F228" s="2504"/>
      <c r="G228" s="2550"/>
      <c r="H228" s="1727"/>
      <c r="I228" s="873" t="s">
        <v>1168</v>
      </c>
      <c r="J228" s="793"/>
      <c r="K228" s="1727"/>
      <c r="L228" s="436"/>
      <c r="M228" s="563"/>
      <c r="N228" s="556"/>
      <c r="O228" s="1851"/>
      <c r="P228" s="1851"/>
    </row>
    <row s="16676" customFormat="1" customHeight="1" ht="0.75" hidden="1">
      <c r="A229" s="2007"/>
      <c r="B229" s="2007"/>
      <c r="C229" s="591" t="s">
        <v>1178</v>
      </c>
      <c r="D229" s="2595"/>
      <c r="E229" s="2338"/>
      <c r="F229" s="2504"/>
      <c r="G229" s="622"/>
      <c r="H229" s="1727"/>
      <c r="I229" s="873"/>
      <c r="J229" s="793"/>
      <c r="K229" s="1727"/>
      <c r="L229" s="436"/>
      <c r="M229" s="563"/>
      <c r="N229" s="556"/>
      <c r="O229" s="1851"/>
      <c r="P229" s="1851"/>
    </row>
    <row s="16676" customFormat="1" customHeight="1" ht="18.75" hidden="1">
      <c r="A230" s="2007" t="s">
        <v>273</v>
      </c>
      <c r="B230" s="2007" t="s">
        <v>274</v>
      </c>
      <c r="C230" s="591"/>
      <c r="D230" s="2595"/>
      <c r="E230" s="2338"/>
      <c r="F230" s="2504" t="str">
        <f>INDEX(PT_DIFFERENTIATION_VTAR,MATCH(A230,PT_DIFFERENTIATION_VTAR_ID,0))</f>
        <v>Тариф на питьевую воду (питьевое водоснабжение)</v>
      </c>
      <c r="G230" s="2550" t="str">
        <f>INDEX(PT_DIFFERENTIATION_NTAR,MATCH(B230,PT_DIFFERENTIATION_NTAR_ID,0))</f>
        <v/>
      </c>
      <c r="H230" s="2090"/>
      <c r="I230" s="1966"/>
      <c r="J230" s="2000"/>
      <c r="K230" s="2005"/>
      <c r="L230" s="2090" t="s">
        <v>412</v>
      </c>
      <c r="M230" s="563"/>
      <c r="N230" s="556"/>
      <c r="O230" s="1851"/>
      <c r="P230" s="1851"/>
    </row>
    <row s="16676" customFormat="1" customHeight="1" ht="18.75" hidden="1">
      <c r="A231" s="2007"/>
      <c r="B231" s="2007"/>
      <c r="C231" s="591" t="s">
        <v>1169</v>
      </c>
      <c r="D231" s="2595"/>
      <c r="E231" s="2338"/>
      <c r="F231" s="2504"/>
      <c r="G231" s="2550"/>
      <c r="H231" s="1727"/>
      <c r="I231" s="873" t="s">
        <v>1168</v>
      </c>
      <c r="J231" s="793"/>
      <c r="K231" s="1727"/>
      <c r="L231" s="436"/>
      <c r="M231" s="563"/>
      <c r="N231" s="556"/>
      <c r="O231" s="1851"/>
      <c r="P231" s="1851"/>
    </row>
    <row s="16676" customFormat="1" customHeight="1" ht="0.75" hidden="1">
      <c r="A232" s="2007"/>
      <c r="B232" s="2007"/>
      <c r="C232" s="591" t="s">
        <v>1178</v>
      </c>
      <c r="D232" s="2595"/>
      <c r="E232" s="2338"/>
      <c r="F232" s="2504"/>
      <c r="G232" s="622"/>
      <c r="H232" s="1727"/>
      <c r="I232" s="873"/>
      <c r="J232" s="793"/>
      <c r="K232" s="1727"/>
      <c r="L232" s="436"/>
      <c r="M232" s="563"/>
      <c r="N232" s="556"/>
      <c r="O232" s="1851"/>
      <c r="P232" s="1851"/>
    </row>
    <row s="16676" customFormat="1" customHeight="1" ht="18.75" hidden="1">
      <c r="A233" s="2007" t="s">
        <v>278</v>
      </c>
      <c r="B233" s="2007" t="s">
        <v>279</v>
      </c>
      <c r="C233" s="591"/>
      <c r="D233" s="2595"/>
      <c r="E233" s="2338"/>
      <c r="F233" s="2504" t="str">
        <f>INDEX(PT_DIFFERENTIATION_VTAR,MATCH(A233,PT_DIFFERENTIATION_VTAR_ID,0))</f>
        <v>Тариф на техническую воду</v>
      </c>
      <c r="G233" s="2550" t="str">
        <f>INDEX(PT_DIFFERENTIATION_NTAR,MATCH(B233,PT_DIFFERENTIATION_NTAR_ID,0))</f>
        <v/>
      </c>
      <c r="H233" s="2090"/>
      <c r="I233" s="1966"/>
      <c r="J233" s="2000"/>
      <c r="K233" s="2005"/>
      <c r="L233" s="2090" t="s">
        <v>412</v>
      </c>
      <c r="M233" s="563"/>
      <c r="N233" s="556"/>
      <c r="O233" s="1851"/>
      <c r="P233" s="1851"/>
    </row>
    <row s="16676" customFormat="1" customHeight="1" ht="18.75" hidden="1">
      <c r="A234" s="2007"/>
      <c r="B234" s="2007"/>
      <c r="C234" s="591" t="s">
        <v>1169</v>
      </c>
      <c r="D234" s="2595"/>
      <c r="E234" s="2338"/>
      <c r="F234" s="2504"/>
      <c r="G234" s="2550"/>
      <c r="H234" s="1727"/>
      <c r="I234" s="873" t="s">
        <v>1168</v>
      </c>
      <c r="J234" s="793"/>
      <c r="K234" s="1727"/>
      <c r="L234" s="436"/>
      <c r="M234" s="563"/>
      <c r="N234" s="556"/>
      <c r="O234" s="1851"/>
      <c r="P234" s="1851"/>
    </row>
    <row s="16676" customFormat="1" customHeight="1" ht="0.75" hidden="1">
      <c r="A235" s="2007"/>
      <c r="B235" s="2007"/>
      <c r="C235" s="591" t="s">
        <v>1178</v>
      </c>
      <c r="D235" s="2595"/>
      <c r="E235" s="2338"/>
      <c r="F235" s="2504"/>
      <c r="G235" s="622"/>
      <c r="H235" s="1727"/>
      <c r="I235" s="873"/>
      <c r="J235" s="793"/>
      <c r="K235" s="1727"/>
      <c r="L235" s="436"/>
      <c r="M235" s="563"/>
      <c r="N235" s="556"/>
      <c r="O235" s="1851"/>
      <c r="P235" s="1851"/>
    </row>
    <row s="16676" customFormat="1" customHeight="1" ht="18.75" hidden="1">
      <c r="A236" s="2007" t="s">
        <v>283</v>
      </c>
      <c r="B236" s="2007" t="s">
        <v>284</v>
      </c>
      <c r="C236" s="591"/>
      <c r="D236" s="2595"/>
      <c r="E236" s="2338"/>
      <c r="F236" s="2504" t="str">
        <f>INDEX(PT_DIFFERENTIATION_VTAR,MATCH(A236,PT_DIFFERENTIATION_VTAR_ID,0))</f>
        <v>Тариф на транспортировку воды</v>
      </c>
      <c r="G236" s="2550" t="str">
        <f>INDEX(PT_DIFFERENTIATION_NTAR,MATCH(B236,PT_DIFFERENTIATION_NTAR_ID,0))</f>
        <v/>
      </c>
      <c r="H236" s="2090"/>
      <c r="I236" s="1966"/>
      <c r="J236" s="2000"/>
      <c r="K236" s="2005"/>
      <c r="L236" s="2090" t="s">
        <v>412</v>
      </c>
      <c r="M236" s="563"/>
      <c r="N236" s="556"/>
      <c r="O236" s="1851"/>
      <c r="P236" s="1851"/>
    </row>
    <row s="16676" customFormat="1" customHeight="1" ht="18.75" hidden="1">
      <c r="A237" s="2007"/>
      <c r="B237" s="2007"/>
      <c r="C237" s="591" t="s">
        <v>1169</v>
      </c>
      <c r="D237" s="2595"/>
      <c r="E237" s="2338"/>
      <c r="F237" s="2504"/>
      <c r="G237" s="2550"/>
      <c r="H237" s="1727"/>
      <c r="I237" s="873" t="s">
        <v>1168</v>
      </c>
      <c r="J237" s="793"/>
      <c r="K237" s="1727"/>
      <c r="L237" s="436"/>
      <c r="M237" s="563"/>
      <c r="N237" s="556"/>
      <c r="O237" s="1851"/>
      <c r="P237" s="1851"/>
    </row>
    <row s="16676" customFormat="1" customHeight="1" ht="0.75" hidden="1">
      <c r="A238" s="2007"/>
      <c r="B238" s="2007"/>
      <c r="C238" s="591" t="s">
        <v>1178</v>
      </c>
      <c r="D238" s="2595"/>
      <c r="E238" s="2338"/>
      <c r="F238" s="2504"/>
      <c r="G238" s="622"/>
      <c r="H238" s="1727"/>
      <c r="I238" s="873"/>
      <c r="J238" s="793"/>
      <c r="K238" s="1727"/>
      <c r="L238" s="436"/>
      <c r="M238" s="563"/>
      <c r="N238" s="556"/>
      <c r="O238" s="1851"/>
      <c r="P238" s="1851"/>
    </row>
    <row s="16676" customFormat="1" customHeight="1" ht="18.75" hidden="1">
      <c r="A239" s="2007" t="s">
        <v>288</v>
      </c>
      <c r="B239" s="2007" t="s">
        <v>289</v>
      </c>
      <c r="C239" s="591"/>
      <c r="D239" s="2595"/>
      <c r="E239" s="2338"/>
      <c r="F239" s="2504" t="str">
        <f>INDEX(PT_DIFFERENTIATION_VTAR,MATCH(A239,PT_DIFFERENTIATION_VTAR_ID,0))</f>
        <v>Тариф на подвоз воды</v>
      </c>
      <c r="G239" s="2550" t="str">
        <f>INDEX(PT_DIFFERENTIATION_NTAR,MATCH(B239,PT_DIFFERENTIATION_NTAR_ID,0))</f>
        <v/>
      </c>
      <c r="H239" s="2090"/>
      <c r="I239" s="1966"/>
      <c r="J239" s="2000"/>
      <c r="K239" s="2005"/>
      <c r="L239" s="2090" t="s">
        <v>412</v>
      </c>
      <c r="M239" s="563"/>
      <c r="N239" s="556"/>
      <c r="O239" s="1851"/>
      <c r="P239" s="1851"/>
    </row>
    <row s="16676" customFormat="1" customHeight="1" ht="18.75" hidden="1">
      <c r="A240" s="2007"/>
      <c r="B240" s="2007"/>
      <c r="C240" s="591" t="s">
        <v>1169</v>
      </c>
      <c r="D240" s="2595"/>
      <c r="E240" s="2338"/>
      <c r="F240" s="2504"/>
      <c r="G240" s="2550"/>
      <c r="H240" s="1727"/>
      <c r="I240" s="873" t="s">
        <v>1168</v>
      </c>
      <c r="J240" s="793"/>
      <c r="K240" s="1727"/>
      <c r="L240" s="436"/>
      <c r="M240" s="563"/>
      <c r="N240" s="556"/>
      <c r="O240" s="1851"/>
      <c r="P240" s="1851"/>
    </row>
    <row s="16676" customFormat="1" customHeight="1" ht="0.75" hidden="1">
      <c r="A241" s="2007"/>
      <c r="B241" s="2007"/>
      <c r="C241" s="591" t="s">
        <v>1178</v>
      </c>
      <c r="D241" s="2595"/>
      <c r="E241" s="2338"/>
      <c r="F241" s="2504"/>
      <c r="G241" s="622"/>
      <c r="H241" s="1727"/>
      <c r="I241" s="873"/>
      <c r="J241" s="793"/>
      <c r="K241" s="1727"/>
      <c r="L241" s="436"/>
      <c r="M241" s="563"/>
      <c r="N241" s="556"/>
      <c r="O241" s="1851"/>
      <c r="P241" s="1851"/>
    </row>
    <row s="16676" customFormat="1" customHeight="1" ht="18.75" hidden="1">
      <c r="A242" s="2007" t="s">
        <v>293</v>
      </c>
      <c r="B242" s="2007" t="s">
        <v>294</v>
      </c>
      <c r="C242" s="591"/>
      <c r="D242" s="2595"/>
      <c r="E242" s="2338"/>
      <c r="F242" s="2504" t="str">
        <f>INDEX(PT_DIFFERENTIATION_VTAR,MATCH(A242,PT_DIFFERENTIATION_VTAR_ID,0))</f>
        <v>Тариф на подключение (технологическое присоединение) к централизованной системе холодного водоснабжения</v>
      </c>
      <c r="G242" s="2550" t="str">
        <f>INDEX(PT_DIFFERENTIATION_NTAR,MATCH(B242,PT_DIFFERENTIATION_NTAR_ID,0))</f>
        <v/>
      </c>
      <c r="H242" s="2090"/>
      <c r="I242" s="1966"/>
      <c r="J242" s="2000"/>
      <c r="K242" s="2005"/>
      <c r="L242" s="2090" t="s">
        <v>412</v>
      </c>
      <c r="M242" s="563"/>
      <c r="N242" s="556"/>
      <c r="O242" s="1851"/>
      <c r="P242" s="1851"/>
    </row>
    <row s="16676" customFormat="1" customHeight="1" ht="18.75" hidden="1">
      <c r="A243" s="2007"/>
      <c r="B243" s="2007"/>
      <c r="C243" s="591" t="s">
        <v>1169</v>
      </c>
      <c r="D243" s="2595"/>
      <c r="E243" s="2338"/>
      <c r="F243" s="2504"/>
      <c r="G243" s="2550"/>
      <c r="H243" s="1727"/>
      <c r="I243" s="873" t="s">
        <v>1168</v>
      </c>
      <c r="J243" s="793"/>
      <c r="K243" s="1727"/>
      <c r="L243" s="436"/>
      <c r="M243" s="563"/>
      <c r="N243" s="556"/>
      <c r="O243" s="1851"/>
      <c r="P243" s="1851"/>
    </row>
    <row s="16676" customFormat="1" customHeight="1" ht="0.75" hidden="1">
      <c r="A244" s="2007"/>
      <c r="B244" s="2007"/>
      <c r="C244" s="591" t="s">
        <v>1178</v>
      </c>
      <c r="D244" s="2595"/>
      <c r="E244" s="2338"/>
      <c r="F244" s="2504"/>
      <c r="G244" s="622"/>
      <c r="H244" s="1727"/>
      <c r="I244" s="873"/>
      <c r="J244" s="793"/>
      <c r="K244" s="1727"/>
      <c r="L244" s="436"/>
      <c r="M244" s="563"/>
      <c r="N244" s="556"/>
      <c r="O244" s="1851"/>
      <c r="P244" s="1851"/>
    </row>
    <row s="16676" customFormat="1" customHeight="1" ht="18.75">
      <c r="A245" s="2007" t="s">
        <v>301</v>
      </c>
      <c r="B245" s="2007" t="s">
        <v>302</v>
      </c>
      <c r="C245" s="591"/>
      <c r="D245" s="2595"/>
      <c r="E245" s="2338"/>
      <c r="F245" s="2504" t="str">
        <f>INDEX(PT_DIFFERENTIATION_VTAR,MATCH(A245,PT_DIFFERENTIATION_VTAR_ID,0))</f>
        <v>Тариф на горячую воду (горячее водоснабжение)</v>
      </c>
      <c r="G245" s="2550" t="str">
        <f>INDEX(PT_DIFFERENTIATION_NTAR,MATCH(B245,PT_DIFFERENTIATION_NTAR_ID,0))</f>
        <v>Горячее водоснажение (закрытая система)</v>
      </c>
      <c r="H245" s="2090"/>
      <c r="I245" s="7461">
        <v>45292</v>
      </c>
      <c r="J245" s="7462">
        <v>47118</v>
      </c>
      <c r="K245" s="2005">
        <v>0</v>
      </c>
      <c r="L245" s="2090" t="s">
        <v>412</v>
      </c>
      <c r="M245" s="563"/>
      <c r="N245" s="556"/>
      <c r="O245" s="1851"/>
      <c r="P245" s="1851"/>
    </row>
    <row s="16676" customFormat="1" customHeight="1" ht="18.75">
      <c r="A246" s="2007"/>
      <c r="B246" s="2007"/>
      <c r="C246" s="591" t="s">
        <v>1169</v>
      </c>
      <c r="D246" s="2595"/>
      <c r="E246" s="2338"/>
      <c r="F246" s="2504"/>
      <c r="G246" s="2550"/>
      <c r="H246" s="1727"/>
      <c r="I246" s="873" t="s">
        <v>1168</v>
      </c>
      <c r="J246" s="793"/>
      <c r="K246" s="1727"/>
      <c r="L246" s="436"/>
      <c r="M246" s="563"/>
      <c r="N246" s="556"/>
      <c r="O246" s="1851"/>
      <c r="P246" s="1851"/>
    </row>
    <row s="16676" customFormat="1" customHeight="1" ht="0.75">
      <c r="A247" s="2007"/>
      <c r="B247" s="2007"/>
      <c r="C247" s="591" t="s">
        <v>1178</v>
      </c>
      <c r="D247" s="2595"/>
      <c r="E247" s="2338"/>
      <c r="F247" s="2504"/>
      <c r="G247" s="622"/>
      <c r="H247" s="1727"/>
      <c r="I247" s="873"/>
      <c r="J247" s="793"/>
      <c r="K247" s="1727"/>
      <c r="L247" s="436"/>
      <c r="M247" s="563"/>
      <c r="N247" s="556"/>
      <c r="O247" s="1851"/>
      <c r="P247" s="1851"/>
    </row>
    <row s="16676" customFormat="1" customHeight="1" ht="18.75" hidden="1">
      <c r="A248" s="2007" t="s">
        <v>361</v>
      </c>
      <c r="B248" s="2007" t="s">
        <v>362</v>
      </c>
      <c r="C248" s="591"/>
      <c r="D248" s="2595"/>
      <c r="E248" s="2338"/>
      <c r="F248" s="2504" t="str">
        <f>INDEX(PT_DIFFERENTIATION_VTAR,MATCH(A248,PT_DIFFERENTIATION_VTAR_ID,0))</f>
        <v>Тариф на транспортировку горячей воды</v>
      </c>
      <c r="G248" s="2550" t="str">
        <f>INDEX(PT_DIFFERENTIATION_NTAR,MATCH(B248,PT_DIFFERENTIATION_NTAR_ID,0))</f>
        <v/>
      </c>
      <c r="H248" s="2090"/>
      <c r="I248" s="1966"/>
      <c r="J248" s="2000"/>
      <c r="K248" s="2005"/>
      <c r="L248" s="2090" t="s">
        <v>412</v>
      </c>
      <c r="M248" s="563"/>
      <c r="N248" s="556"/>
      <c r="O248" s="1851"/>
      <c r="P248" s="1851"/>
    </row>
    <row s="16676" customFormat="1" customHeight="1" ht="18.75" hidden="1">
      <c r="A249" s="2007"/>
      <c r="B249" s="2007"/>
      <c r="C249" s="591" t="s">
        <v>1169</v>
      </c>
      <c r="D249" s="2595"/>
      <c r="E249" s="2338"/>
      <c r="F249" s="2504"/>
      <c r="G249" s="2550"/>
      <c r="H249" s="1727"/>
      <c r="I249" s="873" t="s">
        <v>1168</v>
      </c>
      <c r="J249" s="793"/>
      <c r="K249" s="1727"/>
      <c r="L249" s="436"/>
      <c r="M249" s="563"/>
      <c r="N249" s="556"/>
      <c r="O249" s="1851"/>
      <c r="P249" s="1851"/>
    </row>
    <row s="16676" customFormat="1" customHeight="1" ht="0.75" hidden="1">
      <c r="A250" s="2007"/>
      <c r="B250" s="2007"/>
      <c r="C250" s="591" t="s">
        <v>1178</v>
      </c>
      <c r="D250" s="2595"/>
      <c r="E250" s="2338"/>
      <c r="F250" s="2504"/>
      <c r="G250" s="622"/>
      <c r="H250" s="1727"/>
      <c r="I250" s="873"/>
      <c r="J250" s="793"/>
      <c r="K250" s="1727"/>
      <c r="L250" s="436"/>
      <c r="M250" s="563"/>
      <c r="N250" s="556"/>
      <c r="O250" s="1851"/>
      <c r="P250" s="1851"/>
    </row>
    <row s="16676" customFormat="1" customHeight="1" ht="18.75" hidden="1">
      <c r="A251" s="2007" t="s">
        <v>366</v>
      </c>
      <c r="B251" s="2007" t="s">
        <v>367</v>
      </c>
      <c r="C251" s="591"/>
      <c r="D251" s="2595"/>
      <c r="E251" s="2338"/>
      <c r="F251" s="2504" t="str">
        <f>INDEX(PT_DIFFERENTIATION_VTAR,MATCH(A251,PT_DIFFERENTIATION_VTAR_ID,0))</f>
        <v>Тариф на подключение (технологическое присоединение) к централизованной системе горячего водоснабжения</v>
      </c>
      <c r="G251" s="2550" t="str">
        <f>INDEX(PT_DIFFERENTIATION_NTAR,MATCH(B251,PT_DIFFERENTIATION_NTAR_ID,0))</f>
        <v/>
      </c>
      <c r="H251" s="2090"/>
      <c r="I251" s="1966"/>
      <c r="J251" s="2000"/>
      <c r="K251" s="2005"/>
      <c r="L251" s="2090" t="s">
        <v>412</v>
      </c>
      <c r="M251" s="563"/>
      <c r="N251" s="556"/>
      <c r="O251" s="1851"/>
      <c r="P251" s="1851"/>
    </row>
    <row s="16676" customFormat="1" customHeight="1" ht="18.75" hidden="1">
      <c r="A252" s="2007"/>
      <c r="B252" s="2007"/>
      <c r="C252" s="591" t="s">
        <v>1169</v>
      </c>
      <c r="D252" s="2595"/>
      <c r="E252" s="2338"/>
      <c r="F252" s="2504"/>
      <c r="G252" s="2550"/>
      <c r="H252" s="1727"/>
      <c r="I252" s="873" t="s">
        <v>1168</v>
      </c>
      <c r="J252" s="793"/>
      <c r="K252" s="1727"/>
      <c r="L252" s="436"/>
      <c r="M252" s="563"/>
      <c r="N252" s="556"/>
      <c r="O252" s="1851"/>
      <c r="P252" s="1851"/>
    </row>
    <row s="16676" customFormat="1" customHeight="1" ht="0.75" hidden="1">
      <c r="A253" s="2007"/>
      <c r="B253" s="2007"/>
      <c r="C253" s="591" t="s">
        <v>1178</v>
      </c>
      <c r="D253" s="2595"/>
      <c r="E253" s="2338"/>
      <c r="F253" s="2504"/>
      <c r="G253" s="622"/>
      <c r="H253" s="1727"/>
      <c r="I253" s="873"/>
      <c r="J253" s="793"/>
      <c r="K253" s="1727"/>
      <c r="L253" s="436"/>
      <c r="M253" s="563"/>
      <c r="N253" s="556"/>
      <c r="O253" s="1851"/>
      <c r="P253" s="1851"/>
    </row>
    <row s="16676" customFormat="1" customHeight="1" ht="18.75" hidden="1">
      <c r="A254" s="2007" t="s">
        <v>371</v>
      </c>
      <c r="B254" s="2007" t="s">
        <v>372</v>
      </c>
      <c r="C254" s="591"/>
      <c r="D254" s="2595"/>
      <c r="E254" s="2338"/>
      <c r="F254" s="2504" t="str">
        <f>INDEX(PT_DIFFERENTIATION_VTAR,MATCH(A254,PT_DIFFERENTIATION_VTAR_ID,0))</f>
        <v>Тариф на водоотведение</v>
      </c>
      <c r="G254" s="2550" t="str">
        <f>INDEX(PT_DIFFERENTIATION_NTAR,MATCH(B254,PT_DIFFERENTIATION_NTAR_ID,0))</f>
        <v/>
      </c>
      <c r="H254" s="2090"/>
      <c r="I254" s="1966"/>
      <c r="J254" s="2000"/>
      <c r="K254" s="2005"/>
      <c r="L254" s="2090" t="s">
        <v>412</v>
      </c>
      <c r="M254" s="563"/>
      <c r="N254" s="556"/>
      <c r="O254" s="1851"/>
      <c r="P254" s="1851"/>
    </row>
    <row s="16676" customFormat="1" customHeight="1" ht="18.75" hidden="1">
      <c r="A255" s="2007"/>
      <c r="B255" s="2007"/>
      <c r="C255" s="591" t="s">
        <v>1169</v>
      </c>
      <c r="D255" s="2595"/>
      <c r="E255" s="2338"/>
      <c r="F255" s="2504"/>
      <c r="G255" s="2550"/>
      <c r="H255" s="1727"/>
      <c r="I255" s="873" t="s">
        <v>1168</v>
      </c>
      <c r="J255" s="793"/>
      <c r="K255" s="1727"/>
      <c r="L255" s="436"/>
      <c r="M255" s="563"/>
      <c r="N255" s="556"/>
      <c r="O255" s="1851"/>
      <c r="P255" s="1851"/>
    </row>
    <row s="16676" customFormat="1" customHeight="1" ht="0.75" hidden="1">
      <c r="A256" s="2007"/>
      <c r="B256" s="2007"/>
      <c r="C256" s="591" t="s">
        <v>1178</v>
      </c>
      <c r="D256" s="2595"/>
      <c r="E256" s="2338"/>
      <c r="F256" s="2504"/>
      <c r="G256" s="622"/>
      <c r="H256" s="1727"/>
      <c r="I256" s="873"/>
      <c r="J256" s="793"/>
      <c r="K256" s="1727"/>
      <c r="L256" s="436"/>
      <c r="M256" s="563"/>
      <c r="N256" s="556"/>
      <c r="O256" s="1851"/>
      <c r="P256" s="1851"/>
    </row>
    <row s="16676" customFormat="1" customHeight="1" ht="18.75" hidden="1">
      <c r="A257" s="2007" t="s">
        <v>376</v>
      </c>
      <c r="B257" s="2007" t="s">
        <v>377</v>
      </c>
      <c r="C257" s="591"/>
      <c r="D257" s="2595"/>
      <c r="E257" s="2338"/>
      <c r="F257" s="2504" t="str">
        <f>INDEX(PT_DIFFERENTIATION_VTAR,MATCH(A257,PT_DIFFERENTIATION_VTAR_ID,0))</f>
        <v>Тариф на транспортировку сточных вод</v>
      </c>
      <c r="G257" s="2550" t="str">
        <f>INDEX(PT_DIFFERENTIATION_NTAR,MATCH(B257,PT_DIFFERENTIATION_NTAR_ID,0))</f>
        <v/>
      </c>
      <c r="H257" s="2090"/>
      <c r="I257" s="1966"/>
      <c r="J257" s="2000"/>
      <c r="K257" s="2005"/>
      <c r="L257" s="2090" t="s">
        <v>412</v>
      </c>
      <c r="M257" s="563"/>
      <c r="N257" s="556"/>
      <c r="O257" s="1851"/>
      <c r="P257" s="1851"/>
    </row>
    <row s="16676" customFormat="1" customHeight="1" ht="18.75" hidden="1">
      <c r="A258" s="2007"/>
      <c r="B258" s="2007"/>
      <c r="C258" s="591" t="s">
        <v>1169</v>
      </c>
      <c r="D258" s="2595"/>
      <c r="E258" s="2338"/>
      <c r="F258" s="2504"/>
      <c r="G258" s="2550"/>
      <c r="H258" s="1727"/>
      <c r="I258" s="873" t="s">
        <v>1168</v>
      </c>
      <c r="J258" s="793"/>
      <c r="K258" s="1727"/>
      <c r="L258" s="436"/>
      <c r="M258" s="563"/>
      <c r="N258" s="556"/>
      <c r="O258" s="1851"/>
      <c r="P258" s="1851"/>
    </row>
    <row s="16676" customFormat="1" customHeight="1" ht="0.75" hidden="1">
      <c r="A259" s="2007"/>
      <c r="B259" s="2007"/>
      <c r="C259" s="591" t="s">
        <v>1178</v>
      </c>
      <c r="D259" s="2595"/>
      <c r="E259" s="2338"/>
      <c r="F259" s="2504"/>
      <c r="G259" s="622"/>
      <c r="H259" s="1727"/>
      <c r="I259" s="873"/>
      <c r="J259" s="793"/>
      <c r="K259" s="1727"/>
      <c r="L259" s="436"/>
      <c r="M259" s="563"/>
      <c r="N259" s="556"/>
      <c r="O259" s="1851"/>
      <c r="P259" s="1851"/>
    </row>
    <row s="16676" customFormat="1" customHeight="1" ht="18.75" hidden="1">
      <c r="A260" s="2007" t="s">
        <v>381</v>
      </c>
      <c r="B260" s="2007" t="s">
        <v>382</v>
      </c>
      <c r="C260" s="591"/>
      <c r="D260" s="2595"/>
      <c r="E260" s="2338"/>
      <c r="F260" s="2504" t="str">
        <f>INDEX(PT_DIFFERENTIATION_VTAR,MATCH(A260,PT_DIFFERENTIATION_VTAR_ID,0))</f>
        <v>Тариф на подключение (технологическое присоединение) к централизованной системе водоотведения</v>
      </c>
      <c r="G260" s="2550" t="str">
        <f>INDEX(PT_DIFFERENTIATION_NTAR,MATCH(B260,PT_DIFFERENTIATION_NTAR_ID,0))</f>
        <v/>
      </c>
      <c r="H260" s="2090"/>
      <c r="I260" s="1966"/>
      <c r="J260" s="2000"/>
      <c r="K260" s="2005"/>
      <c r="L260" s="2090" t="s">
        <v>412</v>
      </c>
      <c r="M260" s="563"/>
      <c r="N260" s="556"/>
      <c r="O260" s="1851"/>
      <c r="P260" s="1851"/>
    </row>
    <row s="16676" customFormat="1" customHeight="1" ht="18.75" hidden="1">
      <c r="A261" s="2007"/>
      <c r="B261" s="2007"/>
      <c r="C261" s="591" t="s">
        <v>1169</v>
      </c>
      <c r="D261" s="2595"/>
      <c r="E261" s="2338"/>
      <c r="F261" s="2504"/>
      <c r="G261" s="2550"/>
      <c r="H261" s="1727"/>
      <c r="I261" s="873" t="s">
        <v>1168</v>
      </c>
      <c r="J261" s="793"/>
      <c r="K261" s="1727"/>
      <c r="L261" s="436"/>
      <c r="M261" s="563"/>
      <c r="N261" s="556"/>
      <c r="O261" s="1851"/>
      <c r="P261" s="1851"/>
    </row>
    <row s="16676" customFormat="1" customHeight="1" ht="0.75">
      <c r="A262" s="2007"/>
      <c r="B262" s="2007"/>
      <c r="C262" s="591" t="s">
        <v>1178</v>
      </c>
      <c r="D262" s="2595"/>
      <c r="E262" s="2338"/>
      <c r="F262" s="2504"/>
      <c r="G262" s="622"/>
      <c r="H262" s="1727"/>
      <c r="I262" s="873"/>
      <c r="J262" s="793"/>
      <c r="K262" s="1727"/>
      <c r="L262" s="436"/>
      <c r="M262" s="563"/>
      <c r="N262" s="556"/>
      <c r="O262" s="1851"/>
      <c r="P262" s="1851"/>
    </row>
    <row customHeight="1" ht="25.5">
      <c r="A263" s="2007"/>
      <c r="B263" s="2007"/>
      <c r="D263" s="598"/>
      <c r="E263" s="370" t="s">
        <v>88</v>
      </c>
      <c r="F263" s="258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3" s="2587"/>
      <c r="H263" s="2587"/>
      <c r="I263" s="2587"/>
      <c r="J263" s="2587"/>
      <c r="K263" s="2587"/>
      <c r="L263" s="2587"/>
      <c r="M263" s="519"/>
      <c r="N263" s="556"/>
    </row>
    <row s="16676" customFormat="1" customHeight="1" ht="60.75" hidden="1">
      <c r="A264" s="2007" t="s">
        <v>205</v>
      </c>
      <c r="B264" s="2007" t="s">
        <v>206</v>
      </c>
      <c r="C264" s="591"/>
      <c r="D264" s="2595"/>
      <c r="E264" s="2338"/>
      <c r="F264" s="2504" t="str">
        <f>INDEX(PT_DIFFERENTIATION_VTAR,MATCH(A264,PT_DIFFERENTIATION_VTAR_ID,0))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64" s="2550" t="str">
        <f>INDEX(PT_DIFFERENTIATION_NTAR,MATCH(B264,PT_DIFFERENTIATION_NTAR_ID,0))</f>
        <v/>
      </c>
      <c r="H264" s="2090"/>
      <c r="I264" s="1966"/>
      <c r="J264" s="2000"/>
      <c r="K264" s="2005"/>
      <c r="L264" s="2090" t="s">
        <v>412</v>
      </c>
      <c r="M264" s="22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64" s="556"/>
      <c r="O264" s="1851"/>
      <c r="P264" s="1851"/>
    </row>
    <row s="16676" customFormat="1" customHeight="1" ht="18.75" hidden="1">
      <c r="A265" s="2007"/>
      <c r="B265" s="2007"/>
      <c r="C265" s="591" t="s">
        <v>1169</v>
      </c>
      <c r="D265" s="2595"/>
      <c r="E265" s="2338"/>
      <c r="F265" s="2504"/>
      <c r="G265" s="2550"/>
      <c r="H265" s="1727"/>
      <c r="I265" s="873" t="s">
        <v>1168</v>
      </c>
      <c r="J265" s="793"/>
      <c r="K265" s="1727"/>
      <c r="L265" s="436"/>
      <c r="M265" s="2298"/>
      <c r="N265" s="556"/>
      <c r="O265" s="1851"/>
      <c r="P265" s="1851"/>
    </row>
    <row s="16676" customFormat="1" customHeight="1" ht="0.75" hidden="1">
      <c r="A266" s="2007"/>
      <c r="B266" s="2007"/>
      <c r="C266" s="591" t="s">
        <v>1178</v>
      </c>
      <c r="D266" s="2595"/>
      <c r="E266" s="2338"/>
      <c r="F266" s="2504"/>
      <c r="G266" s="622"/>
      <c r="H266" s="1727"/>
      <c r="I266" s="873"/>
      <c r="J266" s="793"/>
      <c r="K266" s="1727"/>
      <c r="L266" s="436"/>
      <c r="M266" s="2298"/>
      <c r="N266" s="556"/>
      <c r="O266" s="1851"/>
      <c r="P266" s="1851"/>
    </row>
    <row s="16676" customFormat="1" customHeight="1" ht="45" hidden="1">
      <c r="A267" s="2007" t="s">
        <v>211</v>
      </c>
      <c r="B267" s="2007" t="s">
        <v>212</v>
      </c>
      <c r="C267" s="591"/>
      <c r="D267" s="2595"/>
      <c r="E267" s="2338"/>
      <c r="F267" s="2504" t="str">
        <f>INDEX(PT_DIFFERENTIATION_VTAR,MATCH(A267,PT_DIFFERENTIATION_VTAR_ID,0))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7" s="2550" t="str">
        <f>INDEX(PT_DIFFERENTIATION_NTAR,MATCH(B267,PT_DIFFERENTIATION_NTAR_ID,0))</f>
        <v/>
      </c>
      <c r="H267" s="2090"/>
      <c r="I267" s="1966"/>
      <c r="J267" s="2000"/>
      <c r="K267" s="2005"/>
      <c r="L267" s="2090" t="s">
        <v>412</v>
      </c>
      <c r="M267" s="2299"/>
      <c r="N267" s="556"/>
      <c r="O267" s="1851"/>
      <c r="P267" s="1851"/>
    </row>
    <row s="16676" customFormat="1" customHeight="1" ht="18.75" hidden="1">
      <c r="A268" s="2007"/>
      <c r="B268" s="2007"/>
      <c r="C268" s="591" t="s">
        <v>1169</v>
      </c>
      <c r="D268" s="2595"/>
      <c r="E268" s="2338"/>
      <c r="F268" s="2504"/>
      <c r="G268" s="2550"/>
      <c r="H268" s="1727"/>
      <c r="I268" s="873" t="s">
        <v>1168</v>
      </c>
      <c r="J268" s="793"/>
      <c r="K268" s="1727"/>
      <c r="L268" s="436"/>
      <c r="M268" s="2089"/>
      <c r="N268" s="556"/>
      <c r="O268" s="1851"/>
      <c r="P268" s="1851"/>
    </row>
    <row s="16676" customFormat="1" customHeight="1" ht="0.75" hidden="1">
      <c r="A269" s="2007"/>
      <c r="B269" s="2007"/>
      <c r="C269" s="591" t="s">
        <v>1178</v>
      </c>
      <c r="D269" s="2595"/>
      <c r="E269" s="2338"/>
      <c r="F269" s="2504"/>
      <c r="G269" s="622"/>
      <c r="H269" s="1727"/>
      <c r="I269" s="873"/>
      <c r="J269" s="793"/>
      <c r="K269" s="1727"/>
      <c r="L269" s="436"/>
      <c r="M269" s="563"/>
      <c r="N269" s="556"/>
      <c r="O269" s="1851"/>
      <c r="P269" s="1851"/>
    </row>
    <row s="16676" customFormat="1" customHeight="1" ht="45" hidden="1">
      <c r="A270" s="2007" t="s">
        <v>217</v>
      </c>
      <c r="B270" s="2007" t="s">
        <v>218</v>
      </c>
      <c r="C270" s="591"/>
      <c r="D270" s="2595"/>
      <c r="E270" s="2338"/>
      <c r="F270" s="2504" t="str">
        <f>INDEX(PT_DIFFERENTIATION_VTAR,MATCH(A270,PT_DIFFERENTIATION_VTAR_ID,0))</f>
        <v>Тарифы на теплоноситель, поставляемый теплоснабжающими организациями потребителям, другим теплоснабжающим организациям</v>
      </c>
      <c r="G270" s="2550" t="str">
        <f>INDEX(PT_DIFFERENTIATION_NTAR,MATCH(B270,PT_DIFFERENTIATION_NTAR_ID,0))</f>
        <v/>
      </c>
      <c r="H270" s="2090"/>
      <c r="I270" s="1966"/>
      <c r="J270" s="2000"/>
      <c r="K270" s="2005"/>
      <c r="L270" s="2090" t="s">
        <v>412</v>
      </c>
      <c r="M270" s="563"/>
      <c r="N270" s="556"/>
      <c r="O270" s="1851"/>
      <c r="P270" s="1851"/>
    </row>
    <row s="16676" customFormat="1" customHeight="1" ht="18.75" hidden="1">
      <c r="A271" s="2007"/>
      <c r="B271" s="2007"/>
      <c r="C271" s="591" t="s">
        <v>1169</v>
      </c>
      <c r="D271" s="2595"/>
      <c r="E271" s="2338"/>
      <c r="F271" s="2504"/>
      <c r="G271" s="2550"/>
      <c r="H271" s="1727"/>
      <c r="I271" s="873" t="s">
        <v>1168</v>
      </c>
      <c r="J271" s="793"/>
      <c r="K271" s="1727"/>
      <c r="L271" s="436"/>
      <c r="M271" s="563"/>
      <c r="N271" s="556"/>
      <c r="O271" s="1851"/>
      <c r="P271" s="1851"/>
    </row>
    <row s="16676" customFormat="1" customHeight="1" ht="0.75" hidden="1">
      <c r="A272" s="2007"/>
      <c r="B272" s="2007"/>
      <c r="C272" s="591" t="s">
        <v>1178</v>
      </c>
      <c r="D272" s="2595"/>
      <c r="E272" s="2338"/>
      <c r="F272" s="2504"/>
      <c r="G272" s="622"/>
      <c r="H272" s="1727"/>
      <c r="I272" s="873"/>
      <c r="J272" s="793"/>
      <c r="K272" s="1727"/>
      <c r="L272" s="436"/>
      <c r="M272" s="563"/>
      <c r="N272" s="556"/>
      <c r="O272" s="1851"/>
      <c r="P272" s="1851"/>
    </row>
    <row s="16676" customFormat="1" customHeight="1" ht="45" hidden="1">
      <c r="A273" s="2007" t="s">
        <v>223</v>
      </c>
      <c r="B273" s="2007" t="s">
        <v>224</v>
      </c>
      <c r="C273" s="591"/>
      <c r="D273" s="2595"/>
      <c r="E273" s="2338"/>
      <c r="F273" s="2504" t="str">
        <f>INDEX(PT_DIFFERENTIATION_VTAR,MATCH(A273,PT_DIFFERENTIATION_VTAR_ID,0))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3" s="2550" t="str">
        <f>INDEX(PT_DIFFERENTIATION_NTAR,MATCH(B273,PT_DIFFERENTIATION_NTAR_ID,0))</f>
        <v/>
      </c>
      <c r="H273" s="2090"/>
      <c r="I273" s="1966"/>
      <c r="J273" s="2000"/>
      <c r="K273" s="2005"/>
      <c r="L273" s="2090" t="s">
        <v>412</v>
      </c>
      <c r="M273" s="563"/>
      <c r="N273" s="556"/>
      <c r="O273" s="1851"/>
      <c r="P273" s="1851"/>
    </row>
    <row s="16676" customFormat="1" customHeight="1" ht="18.75" hidden="1">
      <c r="A274" s="2007"/>
      <c r="B274" s="2007"/>
      <c r="C274" s="591" t="s">
        <v>1169</v>
      </c>
      <c r="D274" s="2595"/>
      <c r="E274" s="2338"/>
      <c r="F274" s="2504"/>
      <c r="G274" s="2550"/>
      <c r="H274" s="1727"/>
      <c r="I274" s="873" t="s">
        <v>1168</v>
      </c>
      <c r="J274" s="793"/>
      <c r="K274" s="1727"/>
      <c r="L274" s="436"/>
      <c r="M274" s="563"/>
      <c r="N274" s="556"/>
      <c r="O274" s="1851"/>
      <c r="P274" s="1851"/>
    </row>
    <row s="16676" customFormat="1" customHeight="1" ht="0.75" hidden="1">
      <c r="A275" s="2007"/>
      <c r="B275" s="2007"/>
      <c r="C275" s="591" t="s">
        <v>1178</v>
      </c>
      <c r="D275" s="2595"/>
      <c r="E275" s="2338"/>
      <c r="F275" s="2504"/>
      <c r="G275" s="622"/>
      <c r="H275" s="1727"/>
      <c r="I275" s="873"/>
      <c r="J275" s="793"/>
      <c r="K275" s="1727"/>
      <c r="L275" s="436"/>
      <c r="M275" s="563"/>
      <c r="N275" s="556"/>
      <c r="O275" s="1851"/>
      <c r="P275" s="1851"/>
    </row>
    <row s="16676" customFormat="1" customHeight="1" ht="18.75" hidden="1">
      <c r="A276" s="2007" t="s">
        <v>229</v>
      </c>
      <c r="B276" s="2007" t="s">
        <v>230</v>
      </c>
      <c r="C276" s="591"/>
      <c r="D276" s="2595"/>
      <c r="E276" s="2338"/>
      <c r="F276" s="2504" t="str">
        <f>INDEX(PT_DIFFERENTIATION_VTAR,MATCH(A276,PT_DIFFERENTIATION_VTAR_ID,0))</f>
        <v>Тарифы на услуги по передаче тепловой энергии</v>
      </c>
      <c r="G276" s="2550" t="str">
        <f>INDEX(PT_DIFFERENTIATION_NTAR,MATCH(B276,PT_DIFFERENTIATION_NTAR_ID,0))</f>
        <v/>
      </c>
      <c r="H276" s="2090"/>
      <c r="I276" s="1966"/>
      <c r="J276" s="2000"/>
      <c r="K276" s="2005"/>
      <c r="L276" s="2090" t="s">
        <v>412</v>
      </c>
      <c r="M276" s="563"/>
      <c r="N276" s="556"/>
      <c r="O276" s="1851"/>
      <c r="P276" s="1851"/>
    </row>
    <row s="16676" customFormat="1" customHeight="1" ht="18.75" hidden="1">
      <c r="A277" s="2007"/>
      <c r="B277" s="2007"/>
      <c r="C277" s="591" t="s">
        <v>1169</v>
      </c>
      <c r="D277" s="2595"/>
      <c r="E277" s="2338"/>
      <c r="F277" s="2504"/>
      <c r="G277" s="2550"/>
      <c r="H277" s="1727"/>
      <c r="I277" s="873" t="s">
        <v>1168</v>
      </c>
      <c r="J277" s="793"/>
      <c r="K277" s="1727"/>
      <c r="L277" s="436"/>
      <c r="M277" s="563"/>
      <c r="N277" s="556"/>
      <c r="O277" s="1851"/>
      <c r="P277" s="1851"/>
    </row>
    <row s="16676" customFormat="1" customHeight="1" ht="0.75" hidden="1">
      <c r="A278" s="2007"/>
      <c r="B278" s="2007"/>
      <c r="C278" s="591" t="s">
        <v>1178</v>
      </c>
      <c r="D278" s="2595"/>
      <c r="E278" s="2338"/>
      <c r="F278" s="2504"/>
      <c r="G278" s="622"/>
      <c r="H278" s="1727"/>
      <c r="I278" s="873"/>
      <c r="J278" s="793"/>
      <c r="K278" s="1727"/>
      <c r="L278" s="436"/>
      <c r="M278" s="563"/>
      <c r="N278" s="556"/>
      <c r="O278" s="1851"/>
      <c r="P278" s="1851"/>
    </row>
    <row s="16676" customFormat="1" customHeight="1" ht="18.75" hidden="1">
      <c r="A279" s="2007" t="s">
        <v>235</v>
      </c>
      <c r="B279" s="2007" t="s">
        <v>236</v>
      </c>
      <c r="C279" s="591"/>
      <c r="D279" s="2595"/>
      <c r="E279" s="2338"/>
      <c r="F279" s="2504" t="str">
        <f>INDEX(PT_DIFFERENTIATION_VTAR,MATCH(A279,PT_DIFFERENTIATION_VTAR_ID,0))</f>
        <v>Тарифы на услуги по передаче теплоносителя</v>
      </c>
      <c r="G279" s="2550" t="str">
        <f>INDEX(PT_DIFFERENTIATION_NTAR,MATCH(B279,PT_DIFFERENTIATION_NTAR_ID,0))</f>
        <v/>
      </c>
      <c r="H279" s="2090"/>
      <c r="I279" s="1966"/>
      <c r="J279" s="2000"/>
      <c r="K279" s="2005"/>
      <c r="L279" s="2090" t="s">
        <v>412</v>
      </c>
      <c r="M279" s="563"/>
      <c r="N279" s="556"/>
      <c r="O279" s="1851"/>
      <c r="P279" s="1851"/>
    </row>
    <row s="16676" customFormat="1" customHeight="1" ht="18.75" hidden="1">
      <c r="A280" s="2007"/>
      <c r="B280" s="2007"/>
      <c r="C280" s="591" t="s">
        <v>1169</v>
      </c>
      <c r="D280" s="2595"/>
      <c r="E280" s="2338"/>
      <c r="F280" s="2504"/>
      <c r="G280" s="2550"/>
      <c r="H280" s="1727"/>
      <c r="I280" s="873" t="s">
        <v>1168</v>
      </c>
      <c r="J280" s="793"/>
      <c r="K280" s="1727"/>
      <c r="L280" s="436"/>
      <c r="M280" s="563"/>
      <c r="N280" s="556"/>
      <c r="O280" s="1851"/>
      <c r="P280" s="1851"/>
    </row>
    <row s="16676" customFormat="1" customHeight="1" ht="0.75" hidden="1">
      <c r="A281" s="2007"/>
      <c r="B281" s="2007"/>
      <c r="C281" s="591" t="s">
        <v>1178</v>
      </c>
      <c r="D281" s="2595"/>
      <c r="E281" s="2338"/>
      <c r="F281" s="2504"/>
      <c r="G281" s="622"/>
      <c r="H281" s="1727"/>
      <c r="I281" s="873"/>
      <c r="J281" s="793"/>
      <c r="K281" s="1727"/>
      <c r="L281" s="436"/>
      <c r="M281" s="563"/>
      <c r="N281" s="556"/>
      <c r="O281" s="1851"/>
      <c r="P281" s="1851"/>
    </row>
    <row s="16676" customFormat="1" customHeight="1" ht="18.75" hidden="1">
      <c r="A282" s="2007" t="s">
        <v>241</v>
      </c>
      <c r="B282" s="2007" t="s">
        <v>242</v>
      </c>
      <c r="C282" s="591"/>
      <c r="D282" s="2595"/>
      <c r="E282" s="2338"/>
      <c r="F282" s="2504" t="str">
        <f>INDEX(PT_DIFFERENTIATION_VTAR,MATCH(A282,PT_DIFFERENTIATION_VTAR_ID,0))</f>
        <v>Плата за услуги по поддержанию резервной тепловой мощности при отсутствии потребления тепловой энергии</v>
      </c>
      <c r="G282" s="2550" t="str">
        <f>INDEX(PT_DIFFERENTIATION_NTAR,MATCH(B282,PT_DIFFERENTIATION_NTAR_ID,0))</f>
        <v/>
      </c>
      <c r="H282" s="2090"/>
      <c r="I282" s="1966"/>
      <c r="J282" s="2000"/>
      <c r="K282" s="2005"/>
      <c r="L282" s="2090" t="s">
        <v>412</v>
      </c>
      <c r="M282" s="563"/>
      <c r="N282" s="556"/>
      <c r="O282" s="1851"/>
      <c r="P282" s="1851"/>
    </row>
    <row s="16676" customFormat="1" customHeight="1" ht="18.75" hidden="1">
      <c r="A283" s="2007"/>
      <c r="B283" s="2007"/>
      <c r="C283" s="591" t="s">
        <v>1169</v>
      </c>
      <c r="D283" s="2595"/>
      <c r="E283" s="2338"/>
      <c r="F283" s="2504"/>
      <c r="G283" s="2550"/>
      <c r="H283" s="1727"/>
      <c r="I283" s="873" t="s">
        <v>1168</v>
      </c>
      <c r="J283" s="793"/>
      <c r="K283" s="1727"/>
      <c r="L283" s="436"/>
      <c r="M283" s="563"/>
      <c r="N283" s="556"/>
      <c r="O283" s="1851"/>
      <c r="P283" s="1851"/>
    </row>
    <row s="16676" customFormat="1" customHeight="1" ht="0.75" hidden="1">
      <c r="A284" s="2007"/>
      <c r="B284" s="2007"/>
      <c r="C284" s="591" t="s">
        <v>1178</v>
      </c>
      <c r="D284" s="2595"/>
      <c r="E284" s="2338"/>
      <c r="F284" s="2504"/>
      <c r="G284" s="622"/>
      <c r="H284" s="1727"/>
      <c r="I284" s="873"/>
      <c r="J284" s="793"/>
      <c r="K284" s="1727"/>
      <c r="L284" s="436"/>
      <c r="M284" s="563"/>
      <c r="N284" s="556"/>
      <c r="O284" s="1851"/>
      <c r="P284" s="1851"/>
    </row>
    <row s="16676" customFormat="1" customHeight="1" ht="18.75" hidden="1">
      <c r="A285" s="2007" t="s">
        <v>247</v>
      </c>
      <c r="B285" s="2007" t="s">
        <v>248</v>
      </c>
      <c r="C285" s="591"/>
      <c r="D285" s="2595"/>
      <c r="E285" s="2338"/>
      <c r="F285" s="2504" t="str">
        <f>INDEX(PT_DIFFERENTIATION_VTAR,MATCH(A285,PT_DIFFERENTIATION_VTAR_ID,0))</f>
        <v>Плата за подключение (технологическое присоединение) к системе теплоснабжения</v>
      </c>
      <c r="G285" s="2550" t="str">
        <f>INDEX(PT_DIFFERENTIATION_NTAR,MATCH(B285,PT_DIFFERENTIATION_NTAR_ID,0))</f>
        <v/>
      </c>
      <c r="H285" s="2090"/>
      <c r="I285" s="1966"/>
      <c r="J285" s="2000"/>
      <c r="K285" s="2005"/>
      <c r="L285" s="2090" t="s">
        <v>412</v>
      </c>
      <c r="M285" s="563"/>
      <c r="N285" s="556"/>
      <c r="O285" s="1851"/>
      <c r="P285" s="1851"/>
    </row>
    <row s="16676" customFormat="1" customHeight="1" ht="18.75" hidden="1">
      <c r="A286" s="2007"/>
      <c r="B286" s="2007"/>
      <c r="C286" s="591" t="s">
        <v>1169</v>
      </c>
      <c r="D286" s="2595"/>
      <c r="E286" s="2338"/>
      <c r="F286" s="2504"/>
      <c r="G286" s="2550"/>
      <c r="H286" s="1727"/>
      <c r="I286" s="873" t="s">
        <v>1168</v>
      </c>
      <c r="J286" s="793"/>
      <c r="K286" s="1727"/>
      <c r="L286" s="436"/>
      <c r="M286" s="563"/>
      <c r="N286" s="556"/>
      <c r="O286" s="1851"/>
      <c r="P286" s="1851"/>
    </row>
    <row s="16676" customFormat="1" customHeight="1" ht="0.75" hidden="1">
      <c r="A287" s="2007"/>
      <c r="B287" s="2007"/>
      <c r="C287" s="591" t="s">
        <v>1178</v>
      </c>
      <c r="D287" s="2595"/>
      <c r="E287" s="2338"/>
      <c r="F287" s="2504"/>
      <c r="G287" s="622"/>
      <c r="H287" s="1727"/>
      <c r="I287" s="873"/>
      <c r="J287" s="793"/>
      <c r="K287" s="1727"/>
      <c r="L287" s="436"/>
      <c r="M287" s="563"/>
      <c r="N287" s="556"/>
      <c r="O287" s="1851"/>
      <c r="P287" s="1851"/>
    </row>
    <row s="16676" customFormat="1" customHeight="1" ht="18.75" hidden="1">
      <c r="A288" s="2007" t="s">
        <v>273</v>
      </c>
      <c r="B288" s="2007" t="s">
        <v>274</v>
      </c>
      <c r="C288" s="591"/>
      <c r="D288" s="2595"/>
      <c r="E288" s="2338"/>
      <c r="F288" s="2504" t="str">
        <f>INDEX(PT_DIFFERENTIATION_VTAR,MATCH(A288,PT_DIFFERENTIATION_VTAR_ID,0))</f>
        <v>Тариф на питьевую воду (питьевое водоснабжение)</v>
      </c>
      <c r="G288" s="2550" t="str">
        <f>INDEX(PT_DIFFERENTIATION_NTAR,MATCH(B288,PT_DIFFERENTIATION_NTAR_ID,0))</f>
        <v/>
      </c>
      <c r="H288" s="2090"/>
      <c r="I288" s="1966"/>
      <c r="J288" s="2000"/>
      <c r="K288" s="2005"/>
      <c r="L288" s="2090" t="s">
        <v>412</v>
      </c>
      <c r="M288" s="563"/>
      <c r="N288" s="556"/>
      <c r="O288" s="1851"/>
      <c r="P288" s="1851"/>
    </row>
    <row s="16676" customFormat="1" customHeight="1" ht="18.75" hidden="1">
      <c r="A289" s="2007"/>
      <c r="B289" s="2007"/>
      <c r="C289" s="591" t="s">
        <v>1169</v>
      </c>
      <c r="D289" s="2595"/>
      <c r="E289" s="2338"/>
      <c r="F289" s="2504"/>
      <c r="G289" s="2550"/>
      <c r="H289" s="1727"/>
      <c r="I289" s="873" t="s">
        <v>1168</v>
      </c>
      <c r="J289" s="793"/>
      <c r="K289" s="1727"/>
      <c r="L289" s="436"/>
      <c r="M289" s="563"/>
      <c r="N289" s="556"/>
      <c r="O289" s="1851"/>
      <c r="P289" s="1851"/>
    </row>
    <row s="16676" customFormat="1" customHeight="1" ht="0.75" hidden="1">
      <c r="A290" s="2007"/>
      <c r="B290" s="2007"/>
      <c r="C290" s="591" t="s">
        <v>1178</v>
      </c>
      <c r="D290" s="2595"/>
      <c r="E290" s="2338"/>
      <c r="F290" s="2504"/>
      <c r="G290" s="622"/>
      <c r="H290" s="1727"/>
      <c r="I290" s="873"/>
      <c r="J290" s="793"/>
      <c r="K290" s="1727"/>
      <c r="L290" s="436"/>
      <c r="M290" s="563"/>
      <c r="N290" s="556"/>
      <c r="O290" s="1851"/>
      <c r="P290" s="1851"/>
    </row>
    <row s="16676" customFormat="1" customHeight="1" ht="18.75" hidden="1">
      <c r="A291" s="2007" t="s">
        <v>278</v>
      </c>
      <c r="B291" s="2007" t="s">
        <v>279</v>
      </c>
      <c r="C291" s="591"/>
      <c r="D291" s="2595"/>
      <c r="E291" s="2338"/>
      <c r="F291" s="2504" t="str">
        <f>INDEX(PT_DIFFERENTIATION_VTAR,MATCH(A291,PT_DIFFERENTIATION_VTAR_ID,0))</f>
        <v>Тариф на техническую воду</v>
      </c>
      <c r="G291" s="2550" t="str">
        <f>INDEX(PT_DIFFERENTIATION_NTAR,MATCH(B291,PT_DIFFERENTIATION_NTAR_ID,0))</f>
        <v/>
      </c>
      <c r="H291" s="2090"/>
      <c r="I291" s="1966"/>
      <c r="J291" s="2000"/>
      <c r="K291" s="2005"/>
      <c r="L291" s="2090" t="s">
        <v>412</v>
      </c>
      <c r="M291" s="563"/>
      <c r="N291" s="556"/>
      <c r="O291" s="1851"/>
      <c r="P291" s="1851"/>
    </row>
    <row s="16676" customFormat="1" customHeight="1" ht="18.75" hidden="1">
      <c r="A292" s="2007"/>
      <c r="B292" s="2007"/>
      <c r="C292" s="591" t="s">
        <v>1169</v>
      </c>
      <c r="D292" s="2595"/>
      <c r="E292" s="2338"/>
      <c r="F292" s="2504"/>
      <c r="G292" s="2550"/>
      <c r="H292" s="1727"/>
      <c r="I292" s="873" t="s">
        <v>1168</v>
      </c>
      <c r="J292" s="793"/>
      <c r="K292" s="1727"/>
      <c r="L292" s="436"/>
      <c r="M292" s="563"/>
      <c r="N292" s="556"/>
      <c r="O292" s="1851"/>
      <c r="P292" s="1851"/>
    </row>
    <row s="16676" customFormat="1" customHeight="1" ht="0.75" hidden="1">
      <c r="A293" s="2007"/>
      <c r="B293" s="2007"/>
      <c r="C293" s="591" t="s">
        <v>1178</v>
      </c>
      <c r="D293" s="2595"/>
      <c r="E293" s="2338"/>
      <c r="F293" s="2504"/>
      <c r="G293" s="622"/>
      <c r="H293" s="1727"/>
      <c r="I293" s="873"/>
      <c r="J293" s="793"/>
      <c r="K293" s="1727"/>
      <c r="L293" s="436"/>
      <c r="M293" s="563"/>
      <c r="N293" s="556"/>
      <c r="O293" s="1851"/>
      <c r="P293" s="1851"/>
    </row>
    <row s="16676" customFormat="1" customHeight="1" ht="18.75" hidden="1">
      <c r="A294" s="2007" t="s">
        <v>283</v>
      </c>
      <c r="B294" s="2007" t="s">
        <v>284</v>
      </c>
      <c r="C294" s="591"/>
      <c r="D294" s="2595"/>
      <c r="E294" s="2338"/>
      <c r="F294" s="2504" t="str">
        <f>INDEX(PT_DIFFERENTIATION_VTAR,MATCH(A294,PT_DIFFERENTIATION_VTAR_ID,0))</f>
        <v>Тариф на транспортировку воды</v>
      </c>
      <c r="G294" s="2550" t="str">
        <f>INDEX(PT_DIFFERENTIATION_NTAR,MATCH(B294,PT_DIFFERENTIATION_NTAR_ID,0))</f>
        <v/>
      </c>
      <c r="H294" s="2090"/>
      <c r="I294" s="1966"/>
      <c r="J294" s="2000"/>
      <c r="K294" s="2005"/>
      <c r="L294" s="2090" t="s">
        <v>412</v>
      </c>
      <c r="M294" s="563"/>
      <c r="N294" s="556"/>
      <c r="O294" s="1851"/>
      <c r="P294" s="1851"/>
    </row>
    <row s="16676" customFormat="1" customHeight="1" ht="18.75" hidden="1">
      <c r="A295" s="2007"/>
      <c r="B295" s="2007"/>
      <c r="C295" s="591" t="s">
        <v>1169</v>
      </c>
      <c r="D295" s="2595"/>
      <c r="E295" s="2338"/>
      <c r="F295" s="2504"/>
      <c r="G295" s="2550"/>
      <c r="H295" s="1727"/>
      <c r="I295" s="873" t="s">
        <v>1168</v>
      </c>
      <c r="J295" s="793"/>
      <c r="K295" s="1727"/>
      <c r="L295" s="436"/>
      <c r="M295" s="563"/>
      <c r="N295" s="556"/>
      <c r="O295" s="1851"/>
      <c r="P295" s="1851"/>
    </row>
    <row s="16676" customFormat="1" customHeight="1" ht="0.75" hidden="1">
      <c r="A296" s="2007"/>
      <c r="B296" s="2007"/>
      <c r="C296" s="591" t="s">
        <v>1178</v>
      </c>
      <c r="D296" s="2595"/>
      <c r="E296" s="2338"/>
      <c r="F296" s="2504"/>
      <c r="G296" s="622"/>
      <c r="H296" s="1727"/>
      <c r="I296" s="873"/>
      <c r="J296" s="793"/>
      <c r="K296" s="1727"/>
      <c r="L296" s="436"/>
      <c r="M296" s="563"/>
      <c r="N296" s="556"/>
      <c r="O296" s="1851"/>
      <c r="P296" s="1851"/>
    </row>
    <row s="16676" customFormat="1" customHeight="1" ht="18.75" hidden="1">
      <c r="A297" s="2007" t="s">
        <v>288</v>
      </c>
      <c r="B297" s="2007" t="s">
        <v>289</v>
      </c>
      <c r="C297" s="591"/>
      <c r="D297" s="2595"/>
      <c r="E297" s="2338"/>
      <c r="F297" s="2504" t="str">
        <f>INDEX(PT_DIFFERENTIATION_VTAR,MATCH(A297,PT_DIFFERENTIATION_VTAR_ID,0))</f>
        <v>Тариф на подвоз воды</v>
      </c>
      <c r="G297" s="2550" t="str">
        <f>INDEX(PT_DIFFERENTIATION_NTAR,MATCH(B297,PT_DIFFERENTIATION_NTAR_ID,0))</f>
        <v/>
      </c>
      <c r="H297" s="2090"/>
      <c r="I297" s="1966"/>
      <c r="J297" s="2000"/>
      <c r="K297" s="2005"/>
      <c r="L297" s="2090" t="s">
        <v>412</v>
      </c>
      <c r="M297" s="563"/>
      <c r="N297" s="556"/>
      <c r="O297" s="1851"/>
      <c r="P297" s="1851"/>
    </row>
    <row s="16676" customFormat="1" customHeight="1" ht="18.75" hidden="1">
      <c r="A298" s="2007"/>
      <c r="B298" s="2007"/>
      <c r="C298" s="591" t="s">
        <v>1169</v>
      </c>
      <c r="D298" s="2595"/>
      <c r="E298" s="2338"/>
      <c r="F298" s="2504"/>
      <c r="G298" s="2550"/>
      <c r="H298" s="1727"/>
      <c r="I298" s="873" t="s">
        <v>1168</v>
      </c>
      <c r="J298" s="793"/>
      <c r="K298" s="1727"/>
      <c r="L298" s="436"/>
      <c r="M298" s="563"/>
      <c r="N298" s="556"/>
      <c r="O298" s="1851"/>
      <c r="P298" s="1851"/>
    </row>
    <row s="16676" customFormat="1" customHeight="1" ht="0.75" hidden="1">
      <c r="A299" s="2007"/>
      <c r="B299" s="2007"/>
      <c r="C299" s="591" t="s">
        <v>1178</v>
      </c>
      <c r="D299" s="2595"/>
      <c r="E299" s="2338"/>
      <c r="F299" s="2504"/>
      <c r="G299" s="622"/>
      <c r="H299" s="1727"/>
      <c r="I299" s="873"/>
      <c r="J299" s="793"/>
      <c r="K299" s="1727"/>
      <c r="L299" s="436"/>
      <c r="M299" s="563"/>
      <c r="N299" s="556"/>
      <c r="O299" s="1851"/>
      <c r="P299" s="1851"/>
    </row>
    <row s="16676" customFormat="1" customHeight="1" ht="18.75" hidden="1">
      <c r="A300" s="2007" t="s">
        <v>293</v>
      </c>
      <c r="B300" s="2007" t="s">
        <v>294</v>
      </c>
      <c r="C300" s="591"/>
      <c r="D300" s="2595"/>
      <c r="E300" s="2338"/>
      <c r="F300" s="2504" t="str">
        <f>INDEX(PT_DIFFERENTIATION_VTAR,MATCH(A300,PT_DIFFERENTIATION_VTAR_ID,0))</f>
        <v>Тариф на подключение (технологическое присоединение) к централизованной системе холодного водоснабжения</v>
      </c>
      <c r="G300" s="2550" t="str">
        <f>INDEX(PT_DIFFERENTIATION_NTAR,MATCH(B300,PT_DIFFERENTIATION_NTAR_ID,0))</f>
        <v/>
      </c>
      <c r="H300" s="2090"/>
      <c r="I300" s="1966"/>
      <c r="J300" s="2000"/>
      <c r="K300" s="2005"/>
      <c r="L300" s="2090" t="s">
        <v>412</v>
      </c>
      <c r="M300" s="563"/>
      <c r="N300" s="556"/>
      <c r="O300" s="1851"/>
      <c r="P300" s="1851"/>
    </row>
    <row s="16676" customFormat="1" customHeight="1" ht="18.75" hidden="1">
      <c r="A301" s="2007"/>
      <c r="B301" s="2007"/>
      <c r="C301" s="591" t="s">
        <v>1169</v>
      </c>
      <c r="D301" s="2595"/>
      <c r="E301" s="2338"/>
      <c r="F301" s="2504"/>
      <c r="G301" s="2550"/>
      <c r="H301" s="1727"/>
      <c r="I301" s="873" t="s">
        <v>1168</v>
      </c>
      <c r="J301" s="793"/>
      <c r="K301" s="1727"/>
      <c r="L301" s="436"/>
      <c r="M301" s="563"/>
      <c r="N301" s="556"/>
      <c r="O301" s="1851"/>
      <c r="P301" s="1851"/>
    </row>
    <row s="16676" customFormat="1" customHeight="1" ht="0.75" hidden="1">
      <c r="A302" s="2007"/>
      <c r="B302" s="2007"/>
      <c r="C302" s="591" t="s">
        <v>1178</v>
      </c>
      <c r="D302" s="2595"/>
      <c r="E302" s="2338"/>
      <c r="F302" s="2504"/>
      <c r="G302" s="622"/>
      <c r="H302" s="1727"/>
      <c r="I302" s="873"/>
      <c r="J302" s="793"/>
      <c r="K302" s="1727"/>
      <c r="L302" s="436"/>
      <c r="M302" s="563"/>
      <c r="N302" s="556"/>
      <c r="O302" s="1851"/>
      <c r="P302" s="1851"/>
    </row>
    <row s="16676" customFormat="1" customHeight="1" ht="18.75">
      <c r="A303" s="2007" t="s">
        <v>301</v>
      </c>
      <c r="B303" s="2007" t="s">
        <v>302</v>
      </c>
      <c r="C303" s="591"/>
      <c r="D303" s="2595"/>
      <c r="E303" s="2338"/>
      <c r="F303" s="2504" t="str">
        <f>INDEX(PT_DIFFERENTIATION_VTAR,MATCH(A303,PT_DIFFERENTIATION_VTAR_ID,0))</f>
        <v>Тариф на горячую воду (горячее водоснабжение)</v>
      </c>
      <c r="G303" s="2550" t="str">
        <f>INDEX(PT_DIFFERENTIATION_NTAR,MATCH(B303,PT_DIFFERENTIATION_NTAR_ID,0))</f>
        <v>Горячее водоснажение (закрытая система)</v>
      </c>
      <c r="H303" s="2090"/>
      <c r="I303" s="7461">
        <v>45292</v>
      </c>
      <c r="J303" s="7462">
        <v>47118</v>
      </c>
      <c r="K303" s="2005">
        <v>0</v>
      </c>
      <c r="L303" s="2090" t="s">
        <v>412</v>
      </c>
      <c r="M303" s="563"/>
      <c r="N303" s="556"/>
      <c r="O303" s="1851"/>
      <c r="P303" s="1851"/>
    </row>
    <row s="16676" customFormat="1" customHeight="1" ht="18.75">
      <c r="A304" s="2007"/>
      <c r="B304" s="2007"/>
      <c r="C304" s="591" t="s">
        <v>1169</v>
      </c>
      <c r="D304" s="2595"/>
      <c r="E304" s="2338"/>
      <c r="F304" s="2504"/>
      <c r="G304" s="2550"/>
      <c r="H304" s="1727"/>
      <c r="I304" s="873" t="s">
        <v>1168</v>
      </c>
      <c r="J304" s="793"/>
      <c r="K304" s="1727"/>
      <c r="L304" s="436"/>
      <c r="M304" s="563"/>
      <c r="N304" s="556"/>
      <c r="O304" s="1851"/>
      <c r="P304" s="1851"/>
    </row>
    <row s="16676" customFormat="1" customHeight="1" ht="0.75">
      <c r="A305" s="2007"/>
      <c r="B305" s="2007"/>
      <c r="C305" s="591" t="s">
        <v>1178</v>
      </c>
      <c r="D305" s="2595"/>
      <c r="E305" s="2338"/>
      <c r="F305" s="2504"/>
      <c r="G305" s="622"/>
      <c r="H305" s="1727"/>
      <c r="I305" s="873"/>
      <c r="J305" s="793"/>
      <c r="K305" s="1727"/>
      <c r="L305" s="436"/>
      <c r="M305" s="563"/>
      <c r="N305" s="556"/>
      <c r="O305" s="1851"/>
      <c r="P305" s="1851"/>
    </row>
    <row s="16676" customFormat="1" customHeight="1" ht="18.75" hidden="1">
      <c r="A306" s="2007" t="s">
        <v>361</v>
      </c>
      <c r="B306" s="2007" t="s">
        <v>362</v>
      </c>
      <c r="C306" s="591"/>
      <c r="D306" s="2595"/>
      <c r="E306" s="2338"/>
      <c r="F306" s="2504" t="str">
        <f>INDEX(PT_DIFFERENTIATION_VTAR,MATCH(A306,PT_DIFFERENTIATION_VTAR_ID,0))</f>
        <v>Тариф на транспортировку горячей воды</v>
      </c>
      <c r="G306" s="2550" t="str">
        <f>INDEX(PT_DIFFERENTIATION_NTAR,MATCH(B306,PT_DIFFERENTIATION_NTAR_ID,0))</f>
        <v/>
      </c>
      <c r="H306" s="2090"/>
      <c r="I306" s="1966"/>
      <c r="J306" s="2000"/>
      <c r="K306" s="2005"/>
      <c r="L306" s="2090" t="s">
        <v>412</v>
      </c>
      <c r="M306" s="563"/>
      <c r="N306" s="556"/>
      <c r="O306" s="1851"/>
      <c r="P306" s="1851"/>
    </row>
    <row s="16676" customFormat="1" customHeight="1" ht="18.75" hidden="1">
      <c r="A307" s="2007"/>
      <c r="B307" s="2007"/>
      <c r="C307" s="591" t="s">
        <v>1169</v>
      </c>
      <c r="D307" s="2595"/>
      <c r="E307" s="2338"/>
      <c r="F307" s="2504"/>
      <c r="G307" s="2550"/>
      <c r="H307" s="1727"/>
      <c r="I307" s="873" t="s">
        <v>1168</v>
      </c>
      <c r="J307" s="793"/>
      <c r="K307" s="1727"/>
      <c r="L307" s="436"/>
      <c r="M307" s="563"/>
      <c r="N307" s="556"/>
      <c r="O307" s="1851"/>
      <c r="P307" s="1851"/>
    </row>
    <row s="16676" customFormat="1" customHeight="1" ht="0.75" hidden="1">
      <c r="A308" s="2007"/>
      <c r="B308" s="2007"/>
      <c r="C308" s="591" t="s">
        <v>1178</v>
      </c>
      <c r="D308" s="2595"/>
      <c r="E308" s="2338"/>
      <c r="F308" s="2504"/>
      <c r="G308" s="622"/>
      <c r="H308" s="1727"/>
      <c r="I308" s="873"/>
      <c r="J308" s="793"/>
      <c r="K308" s="1727"/>
      <c r="L308" s="436"/>
      <c r="M308" s="563"/>
      <c r="N308" s="556"/>
      <c r="O308" s="1851"/>
      <c r="P308" s="1851"/>
    </row>
    <row s="16676" customFormat="1" customHeight="1" ht="18.75" hidden="1">
      <c r="A309" s="2007" t="s">
        <v>366</v>
      </c>
      <c r="B309" s="2007" t="s">
        <v>367</v>
      </c>
      <c r="C309" s="591"/>
      <c r="D309" s="2595"/>
      <c r="E309" s="2338"/>
      <c r="F309" s="2504" t="str">
        <f>INDEX(PT_DIFFERENTIATION_VTAR,MATCH(A309,PT_DIFFERENTIATION_VTAR_ID,0))</f>
        <v>Тариф на подключение (технологическое присоединение) к централизованной системе горячего водоснабжения</v>
      </c>
      <c r="G309" s="2550" t="str">
        <f>INDEX(PT_DIFFERENTIATION_NTAR,MATCH(B309,PT_DIFFERENTIATION_NTAR_ID,0))</f>
        <v/>
      </c>
      <c r="H309" s="2090"/>
      <c r="I309" s="1966"/>
      <c r="J309" s="2000"/>
      <c r="K309" s="2005"/>
      <c r="L309" s="2090" t="s">
        <v>412</v>
      </c>
      <c r="M309" s="563"/>
      <c r="N309" s="556"/>
      <c r="O309" s="1851"/>
      <c r="P309" s="1851"/>
    </row>
    <row s="16676" customFormat="1" customHeight="1" ht="18.75" hidden="1">
      <c r="A310" s="2007"/>
      <c r="B310" s="2007"/>
      <c r="C310" s="591" t="s">
        <v>1169</v>
      </c>
      <c r="D310" s="2595"/>
      <c r="E310" s="2338"/>
      <c r="F310" s="2504"/>
      <c r="G310" s="2550"/>
      <c r="H310" s="1727"/>
      <c r="I310" s="873" t="s">
        <v>1168</v>
      </c>
      <c r="J310" s="793"/>
      <c r="K310" s="1727"/>
      <c r="L310" s="436"/>
      <c r="M310" s="563"/>
      <c r="N310" s="556"/>
      <c r="O310" s="1851"/>
      <c r="P310" s="1851"/>
    </row>
    <row s="16676" customFormat="1" customHeight="1" ht="0.75" hidden="1">
      <c r="A311" s="2007"/>
      <c r="B311" s="2007"/>
      <c r="C311" s="591" t="s">
        <v>1178</v>
      </c>
      <c r="D311" s="2595"/>
      <c r="E311" s="2338"/>
      <c r="F311" s="2504"/>
      <c r="G311" s="622"/>
      <c r="H311" s="1727"/>
      <c r="I311" s="873"/>
      <c r="J311" s="793"/>
      <c r="K311" s="1727"/>
      <c r="L311" s="436"/>
      <c r="M311" s="563"/>
      <c r="N311" s="556"/>
      <c r="O311" s="1851"/>
      <c r="P311" s="1851"/>
    </row>
    <row s="16676" customFormat="1" customHeight="1" ht="18.75" hidden="1">
      <c r="A312" s="2007" t="s">
        <v>371</v>
      </c>
      <c r="B312" s="2007" t="s">
        <v>372</v>
      </c>
      <c r="C312" s="591"/>
      <c r="D312" s="2595"/>
      <c r="E312" s="2338"/>
      <c r="F312" s="2504" t="str">
        <f>INDEX(PT_DIFFERENTIATION_VTAR,MATCH(A312,PT_DIFFERENTIATION_VTAR_ID,0))</f>
        <v>Тариф на водоотведение</v>
      </c>
      <c r="G312" s="2550" t="str">
        <f>INDEX(PT_DIFFERENTIATION_NTAR,MATCH(B312,PT_DIFFERENTIATION_NTAR_ID,0))</f>
        <v/>
      </c>
      <c r="H312" s="2090"/>
      <c r="I312" s="1966"/>
      <c r="J312" s="2000"/>
      <c r="K312" s="2005"/>
      <c r="L312" s="2090" t="s">
        <v>412</v>
      </c>
      <c r="M312" s="563"/>
      <c r="N312" s="556"/>
      <c r="O312" s="1851"/>
      <c r="P312" s="1851"/>
    </row>
    <row s="16676" customFormat="1" customHeight="1" ht="18.75" hidden="1">
      <c r="A313" s="2007"/>
      <c r="B313" s="2007"/>
      <c r="C313" s="591" t="s">
        <v>1169</v>
      </c>
      <c r="D313" s="2595"/>
      <c r="E313" s="2338"/>
      <c r="F313" s="2504"/>
      <c r="G313" s="2550"/>
      <c r="H313" s="1727"/>
      <c r="I313" s="873" t="s">
        <v>1168</v>
      </c>
      <c r="J313" s="793"/>
      <c r="K313" s="1727"/>
      <c r="L313" s="436"/>
      <c r="M313" s="563"/>
      <c r="N313" s="556"/>
      <c r="O313" s="1851"/>
      <c r="P313" s="1851"/>
    </row>
    <row s="16676" customFormat="1" customHeight="1" ht="0.75" hidden="1">
      <c r="A314" s="2007"/>
      <c r="B314" s="2007"/>
      <c r="C314" s="591" t="s">
        <v>1178</v>
      </c>
      <c r="D314" s="2595"/>
      <c r="E314" s="2338"/>
      <c r="F314" s="2504"/>
      <c r="G314" s="622"/>
      <c r="H314" s="1727"/>
      <c r="I314" s="873"/>
      <c r="J314" s="793"/>
      <c r="K314" s="1727"/>
      <c r="L314" s="436"/>
      <c r="M314" s="563"/>
      <c r="N314" s="556"/>
      <c r="O314" s="1851"/>
      <c r="P314" s="1851"/>
    </row>
    <row s="16676" customFormat="1" customHeight="1" ht="18.75" hidden="1">
      <c r="A315" s="2007" t="s">
        <v>376</v>
      </c>
      <c r="B315" s="2007" t="s">
        <v>377</v>
      </c>
      <c r="C315" s="591"/>
      <c r="D315" s="2595"/>
      <c r="E315" s="2338"/>
      <c r="F315" s="2504" t="str">
        <f>INDEX(PT_DIFFERENTIATION_VTAR,MATCH(A315,PT_DIFFERENTIATION_VTAR_ID,0))</f>
        <v>Тариф на транспортировку сточных вод</v>
      </c>
      <c r="G315" s="2550" t="str">
        <f>INDEX(PT_DIFFERENTIATION_NTAR,MATCH(B315,PT_DIFFERENTIATION_NTAR_ID,0))</f>
        <v/>
      </c>
      <c r="H315" s="2090"/>
      <c r="I315" s="1966"/>
      <c r="J315" s="2000"/>
      <c r="K315" s="2005"/>
      <c r="L315" s="2090" t="s">
        <v>412</v>
      </c>
      <c r="M315" s="563"/>
      <c r="N315" s="556"/>
      <c r="O315" s="1851"/>
      <c r="P315" s="1851"/>
    </row>
    <row s="16676" customFormat="1" customHeight="1" ht="18.75" hidden="1">
      <c r="A316" s="2007"/>
      <c r="B316" s="2007"/>
      <c r="C316" s="591" t="s">
        <v>1169</v>
      </c>
      <c r="D316" s="2595"/>
      <c r="E316" s="2338"/>
      <c r="F316" s="2504"/>
      <c r="G316" s="2550"/>
      <c r="H316" s="1727"/>
      <c r="I316" s="873" t="s">
        <v>1168</v>
      </c>
      <c r="J316" s="793"/>
      <c r="K316" s="1727"/>
      <c r="L316" s="436"/>
      <c r="M316" s="563"/>
      <c r="N316" s="556"/>
      <c r="O316" s="1851"/>
      <c r="P316" s="1851"/>
    </row>
    <row s="16676" customFormat="1" customHeight="1" ht="0.75" hidden="1">
      <c r="A317" s="2007"/>
      <c r="B317" s="2007"/>
      <c r="C317" s="591" t="s">
        <v>1178</v>
      </c>
      <c r="D317" s="2595"/>
      <c r="E317" s="2338"/>
      <c r="F317" s="2504"/>
      <c r="G317" s="622"/>
      <c r="H317" s="1727"/>
      <c r="I317" s="873"/>
      <c r="J317" s="793"/>
      <c r="K317" s="1727"/>
      <c r="L317" s="436"/>
      <c r="M317" s="563"/>
      <c r="N317" s="556"/>
      <c r="O317" s="1851"/>
      <c r="P317" s="1851"/>
    </row>
    <row s="16676" customFormat="1" customHeight="1" ht="18.75" hidden="1">
      <c r="A318" s="2007" t="s">
        <v>381</v>
      </c>
      <c r="B318" s="2007" t="s">
        <v>382</v>
      </c>
      <c r="C318" s="591"/>
      <c r="D318" s="2595"/>
      <c r="E318" s="2338"/>
      <c r="F318" s="2504" t="str">
        <f>INDEX(PT_DIFFERENTIATION_VTAR,MATCH(A318,PT_DIFFERENTIATION_VTAR_ID,0))</f>
        <v>Тариф на подключение (технологическое присоединение) к централизованной системе водоотведения</v>
      </c>
      <c r="G318" s="2550" t="str">
        <f>INDEX(PT_DIFFERENTIATION_NTAR,MATCH(B318,PT_DIFFERENTIATION_NTAR_ID,0))</f>
        <v/>
      </c>
      <c r="H318" s="2090"/>
      <c r="I318" s="1966"/>
      <c r="J318" s="2000"/>
      <c r="K318" s="2005"/>
      <c r="L318" s="2090" t="s">
        <v>412</v>
      </c>
      <c r="M318" s="563"/>
      <c r="N318" s="556"/>
      <c r="O318" s="1851"/>
      <c r="P318" s="1851"/>
    </row>
    <row s="16676" customFormat="1" customHeight="1" ht="18.75" hidden="1">
      <c r="A319" s="2007"/>
      <c r="B319" s="2007"/>
      <c r="C319" s="591" t="s">
        <v>1169</v>
      </c>
      <c r="D319" s="2595"/>
      <c r="E319" s="2338"/>
      <c r="F319" s="2504"/>
      <c r="G319" s="2550"/>
      <c r="H319" s="1727"/>
      <c r="I319" s="873" t="s">
        <v>1168</v>
      </c>
      <c r="J319" s="793"/>
      <c r="K319" s="1727"/>
      <c r="L319" s="436"/>
      <c r="M319" s="563"/>
      <c r="N319" s="556"/>
      <c r="O319" s="1851"/>
      <c r="P319" s="1851"/>
    </row>
    <row s="16676" customFormat="1" customHeight="1" ht="0.75">
      <c r="A320" s="2007"/>
      <c r="B320" s="2007"/>
      <c r="C320" s="591" t="s">
        <v>1178</v>
      </c>
      <c r="D320" s="2595"/>
      <c r="E320" s="2338"/>
      <c r="F320" s="2504"/>
      <c r="G320" s="622"/>
      <c r="H320" s="1727"/>
      <c r="I320" s="873"/>
      <c r="J320" s="793"/>
      <c r="K320" s="1727"/>
      <c r="L320" s="436"/>
      <c r="M320" s="563"/>
      <c r="N320" s="556"/>
      <c r="O320" s="1851"/>
      <c r="P320" s="1851"/>
    </row>
    <row s="22293" customFormat="1" customHeight="1" ht="3">
      <c r="A321" s="2007"/>
      <c r="B321" s="2007"/>
      <c r="C321" s="2008"/>
      <c r="E321" s="624"/>
      <c r="F321" s="624"/>
      <c r="G321" s="624"/>
      <c r="H321" s="624"/>
      <c r="I321" s="624"/>
      <c r="J321" s="624"/>
      <c r="K321" s="624"/>
      <c r="L321" s="624"/>
      <c r="M321" s="624"/>
      <c r="O321" s="418"/>
      <c r="P321" s="418"/>
    </row>
    <row customHeight="1" ht="24.75">
      <c r="E322" s="424"/>
      <c r="F322" s="2387"/>
      <c r="G322" s="2387"/>
      <c r="H322" s="2387"/>
      <c r="I322" s="2387"/>
      <c r="J322" s="2387"/>
      <c r="K322" s="2387"/>
      <c r="L322" s="2387"/>
      <c r="M322" s="2387"/>
    </row>
  </sheetData>
  <sheetProtection formatColumns="0" formatRows="0" autoFilter="0" sort="0" insertRows="0" insertColumns="1" deleteRows="0" deleteColumns="0"/>
  <mergeCells count="408">
    <mergeCell ref="G306:G307"/>
    <mergeCell ref="G309:G310"/>
    <mergeCell ref="G312:G313"/>
    <mergeCell ref="G315:G316"/>
    <mergeCell ref="G318:G319"/>
    <mergeCell ref="G264:G265"/>
    <mergeCell ref="G267:G268"/>
    <mergeCell ref="G270:G271"/>
    <mergeCell ref="G273:G274"/>
    <mergeCell ref="G276:G277"/>
    <mergeCell ref="G279:G280"/>
    <mergeCell ref="G282:G283"/>
    <mergeCell ref="G285:G286"/>
    <mergeCell ref="G288:G289"/>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8:D320"/>
    <mergeCell ref="E318:E320"/>
    <mergeCell ref="F318:F320"/>
    <mergeCell ref="M264:M267"/>
    <mergeCell ref="D312:D314"/>
    <mergeCell ref="E312:E314"/>
    <mergeCell ref="F312:F314"/>
    <mergeCell ref="D315:D317"/>
    <mergeCell ref="E315:E317"/>
    <mergeCell ref="F315:F317"/>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G294:G295"/>
    <mergeCell ref="G297:G298"/>
    <mergeCell ref="G300:G301"/>
    <mergeCell ref="G303:G304"/>
    <mergeCell ref="F273:F275"/>
    <mergeCell ref="D288:D290"/>
    <mergeCell ref="E288:E290"/>
    <mergeCell ref="F288:F290"/>
    <mergeCell ref="D291:D293"/>
    <mergeCell ref="E291:E293"/>
    <mergeCell ref="F291:F293"/>
    <mergeCell ref="D282:D284"/>
    <mergeCell ref="E282:E284"/>
    <mergeCell ref="F282:F284"/>
    <mergeCell ref="D285:D287"/>
    <mergeCell ref="E285:E287"/>
    <mergeCell ref="F285:F287"/>
    <mergeCell ref="G291:G292"/>
    <mergeCell ref="G251:G252"/>
    <mergeCell ref="G254:G255"/>
    <mergeCell ref="G257:G258"/>
    <mergeCell ref="G260:G261"/>
    <mergeCell ref="D245:D247"/>
    <mergeCell ref="E245:E247"/>
    <mergeCell ref="F245:F247"/>
    <mergeCell ref="D248:D250"/>
    <mergeCell ref="E248:E250"/>
    <mergeCell ref="F248:F250"/>
    <mergeCell ref="G248:G249"/>
    <mergeCell ref="D257:D259"/>
    <mergeCell ref="E257:E259"/>
    <mergeCell ref="F257:F259"/>
    <mergeCell ref="D260:D262"/>
    <mergeCell ref="E260:E262"/>
    <mergeCell ref="F260:F262"/>
    <mergeCell ref="D251:D253"/>
    <mergeCell ref="E251:E253"/>
    <mergeCell ref="F251:F253"/>
    <mergeCell ref="D254:D256"/>
    <mergeCell ref="E254:E256"/>
    <mergeCell ref="F254:F256"/>
    <mergeCell ref="D239:D241"/>
    <mergeCell ref="E239:E241"/>
    <mergeCell ref="F239:F241"/>
    <mergeCell ref="D242:D244"/>
    <mergeCell ref="E242:E244"/>
    <mergeCell ref="F242:F244"/>
    <mergeCell ref="G239:G240"/>
    <mergeCell ref="G242:G243"/>
    <mergeCell ref="G245:G246"/>
    <mergeCell ref="G227:G228"/>
    <mergeCell ref="G230:G231"/>
    <mergeCell ref="G233:G234"/>
    <mergeCell ref="G236:G237"/>
    <mergeCell ref="D221:D223"/>
    <mergeCell ref="E221:E223"/>
    <mergeCell ref="F221:F223"/>
    <mergeCell ref="D224:D226"/>
    <mergeCell ref="E224:E226"/>
    <mergeCell ref="F224:F226"/>
    <mergeCell ref="G224:G225"/>
    <mergeCell ref="D233:D235"/>
    <mergeCell ref="E233:E235"/>
    <mergeCell ref="F233:F235"/>
    <mergeCell ref="D236:D238"/>
    <mergeCell ref="E236:E238"/>
    <mergeCell ref="F236:F238"/>
    <mergeCell ref="D227:D229"/>
    <mergeCell ref="E227:E229"/>
    <mergeCell ref="F227:F229"/>
    <mergeCell ref="D230:D232"/>
    <mergeCell ref="E230:E232"/>
    <mergeCell ref="F230:F232"/>
    <mergeCell ref="D215:D217"/>
    <mergeCell ref="E215:E217"/>
    <mergeCell ref="F215:F217"/>
    <mergeCell ref="D218:D220"/>
    <mergeCell ref="E218:E220"/>
    <mergeCell ref="F218:F220"/>
    <mergeCell ref="G215:G216"/>
    <mergeCell ref="G218:G219"/>
    <mergeCell ref="G221:G222"/>
    <mergeCell ref="G196:G197"/>
    <mergeCell ref="G202:G203"/>
    <mergeCell ref="G206:G207"/>
    <mergeCell ref="G209:G210"/>
    <mergeCell ref="G212:G213"/>
    <mergeCell ref="D196:D198"/>
    <mergeCell ref="E196:E198"/>
    <mergeCell ref="F196:F198"/>
    <mergeCell ref="D199:D201"/>
    <mergeCell ref="E199:E201"/>
    <mergeCell ref="F199:F201"/>
    <mergeCell ref="G199:G200"/>
    <mergeCell ref="D209:D211"/>
    <mergeCell ref="E209:E211"/>
    <mergeCell ref="F209:F211"/>
    <mergeCell ref="D212:D214"/>
    <mergeCell ref="E212:E214"/>
    <mergeCell ref="F212:F214"/>
    <mergeCell ref="D202:D204"/>
    <mergeCell ref="E202:E204"/>
    <mergeCell ref="F202:F204"/>
    <mergeCell ref="D206:D208"/>
    <mergeCell ref="E206:E208"/>
    <mergeCell ref="F206:F208"/>
    <mergeCell ref="E178:E180"/>
    <mergeCell ref="F178:F180"/>
    <mergeCell ref="D190:D192"/>
    <mergeCell ref="E190:E192"/>
    <mergeCell ref="F190:F192"/>
    <mergeCell ref="D193:D195"/>
    <mergeCell ref="E193:E195"/>
    <mergeCell ref="F193:F195"/>
    <mergeCell ref="G190:G191"/>
    <mergeCell ref="G193:G194"/>
    <mergeCell ref="G163:G164"/>
    <mergeCell ref="G166:G167"/>
    <mergeCell ref="G169:G170"/>
    <mergeCell ref="G175:G176"/>
    <mergeCell ref="G178:G179"/>
    <mergeCell ref="G181:G182"/>
    <mergeCell ref="G184:G188"/>
    <mergeCell ref="D169:D171"/>
    <mergeCell ref="E169:E171"/>
    <mergeCell ref="F169:F171"/>
    <mergeCell ref="D172:D174"/>
    <mergeCell ref="E172:E174"/>
    <mergeCell ref="F172:F174"/>
    <mergeCell ref="G172:G173"/>
    <mergeCell ref="D181:D183"/>
    <mergeCell ref="E181:E183"/>
    <mergeCell ref="F181:F183"/>
    <mergeCell ref="D184:D189"/>
    <mergeCell ref="E184:E189"/>
    <mergeCell ref="F184:F189"/>
    <mergeCell ref="D175:D177"/>
    <mergeCell ref="E175:E177"/>
    <mergeCell ref="F175:F177"/>
    <mergeCell ref="D178:D180"/>
    <mergeCell ref="E151:E153"/>
    <mergeCell ref="F151:F153"/>
    <mergeCell ref="D154:D156"/>
    <mergeCell ref="E154:E156"/>
    <mergeCell ref="F154:F156"/>
    <mergeCell ref="D163:D165"/>
    <mergeCell ref="E163:E165"/>
    <mergeCell ref="F163:F165"/>
    <mergeCell ref="D166:D168"/>
    <mergeCell ref="E166:E168"/>
    <mergeCell ref="F166:F168"/>
    <mergeCell ref="G160:G161"/>
    <mergeCell ref="D148:D150"/>
    <mergeCell ref="E148:E150"/>
    <mergeCell ref="F148:F150"/>
    <mergeCell ref="D138:D140"/>
    <mergeCell ref="E138:E140"/>
    <mergeCell ref="F138:F140"/>
    <mergeCell ref="D141:D143"/>
    <mergeCell ref="E141:E143"/>
    <mergeCell ref="F141:F143"/>
    <mergeCell ref="D145:D147"/>
    <mergeCell ref="E145:E147"/>
    <mergeCell ref="F145:F147"/>
    <mergeCell ref="G138:G139"/>
    <mergeCell ref="G141:G142"/>
    <mergeCell ref="G145:G146"/>
    <mergeCell ref="G148:G149"/>
    <mergeCell ref="D157:D159"/>
    <mergeCell ref="E157:E159"/>
    <mergeCell ref="F157:F159"/>
    <mergeCell ref="D160:D162"/>
    <mergeCell ref="E160:E162"/>
    <mergeCell ref="F160:F162"/>
    <mergeCell ref="D151:D153"/>
    <mergeCell ref="D132:D134"/>
    <mergeCell ref="E132:E134"/>
    <mergeCell ref="F132:F134"/>
    <mergeCell ref="D135:D137"/>
    <mergeCell ref="E135:E137"/>
    <mergeCell ref="F135:F137"/>
    <mergeCell ref="D123:D128"/>
    <mergeCell ref="E123:E128"/>
    <mergeCell ref="F123:F128"/>
    <mergeCell ref="D129:D131"/>
    <mergeCell ref="E129:E131"/>
    <mergeCell ref="F129:F131"/>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6:M209"/>
    <mergeCell ref="M84:M87"/>
    <mergeCell ref="F144:L144"/>
    <mergeCell ref="M145:M148"/>
    <mergeCell ref="F205:L205"/>
    <mergeCell ref="F48:F50"/>
    <mergeCell ref="F51:F53"/>
    <mergeCell ref="F72:F74"/>
    <mergeCell ref="F75:F77"/>
    <mergeCell ref="F87:F89"/>
    <mergeCell ref="F90:F92"/>
    <mergeCell ref="M24:M80"/>
    <mergeCell ref="G42:G43"/>
    <mergeCell ref="G123:G127"/>
    <mergeCell ref="G129:G130"/>
    <mergeCell ref="G132:G133"/>
    <mergeCell ref="G135:G136"/>
    <mergeCell ref="G151:G152"/>
    <mergeCell ref="G154:G155"/>
    <mergeCell ref="G157:G158"/>
    <mergeCell ref="D66:D68"/>
    <mergeCell ref="E66:E68"/>
    <mergeCell ref="F66:F68"/>
    <mergeCell ref="F322:M322"/>
    <mergeCell ref="F263:L263"/>
    <mergeCell ref="D264:D266"/>
    <mergeCell ref="E264:E266"/>
    <mergeCell ref="F264:F266"/>
    <mergeCell ref="D267:D269"/>
    <mergeCell ref="E267:E269"/>
    <mergeCell ref="F267:F269"/>
    <mergeCell ref="D270:D272"/>
    <mergeCell ref="D276:D278"/>
    <mergeCell ref="E276:E278"/>
    <mergeCell ref="F276:F278"/>
    <mergeCell ref="D279:D281"/>
    <mergeCell ref="E279:E281"/>
    <mergeCell ref="F279:F281"/>
    <mergeCell ref="E270:E272"/>
    <mergeCell ref="F270:F272"/>
    <mergeCell ref="D273:D275"/>
    <mergeCell ref="E273:E275"/>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6:J206 I209:J209 I212:J212 I215:J215 I218:J218 I221:J221 I224:J224 I227:J227 I230:J230 I233:J233 I236:J236 I239:J239 I242:J242 I245:J245 I248:J248 I251:J251 I254:J254 I8:J8 I78:J78 I141:J141 I87:J87 I90:J90 I93:J93 I96:J96 I99:J99 I102:J102 I105:J105 I108:J108 I111:J111 I114:J114 I117:J117 I120:J120 I123:J126 I129:J129 I132:J132 I135:J135 I138:J138 I145:J145 I84:J84 I148:J148 I151:J151 I154:J154 I157:J157 I160:J160 I163:J163 I166:J166 I169:J169 I172:J172 I175:J175 I178:J178 I181:J181 I190:J190 I193:J193 I196:J196 I199:J199 I202:J202 I184:J187 I257:J257 I260:J260 I264:J264 I267:J267 I270:J270 I273:J273 I276:J276 I279:J279 I282:J282 I285:J285 I288:J288 I291:J291 I294:J294 I297:J297 I300:J300 I303:J303 I306:J306 I309:J309 I312:J312 I315:J315 I318:J318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5:M146 M206:M207 M23 M84:M85 M264:M265">
      <formula1>900</formula1>
    </dataValidation>
    <dataValidation type="decimal" allowBlank="1" showErrorMessage="1" errorTitle="Ошибка" error="Допускается ввод только действительных чисел!" sqref="K206 K209 K212 K215 K218 K221 K224 K227 K230 K233 K236 K239 K242 K245 K248 K251 K254 K257 K10 K84 K138 K135 K132 K129 K123:K126 K120 K117 K114 K111 K108 K105 K102 K99 K96 K93 K90 K87 K145 K141 K148 K151 K154 K157 K160 K163 K166 K169 K172 K175 K178 K181 K190 K193 K196 K199 K202 K184:K187 K260 K264 K267 K270 K273 K276 K279 K282 K285 K288 K291 K294 K297 K300 K303 K306 K309 K312 K315 K318 K5">
      <formula1>-9.99999999999999E+23</formula1>
      <formula2>9.99999999999999E+23</formula2>
    </dataValidation>
  </dataValidations>
  <hyperlinks>
    <hyperlink ref="L82" r:id="rId2" xr:uid="{F2AF4A29-98D5-B41B-35E3-D13648818614}"/>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1AD15C-CA97-2AF5-AEC6-F4348CD3FDA3}" mc:Ignorable="x14ac xr xr2 xr3">
  <sheetPr>
    <tabColor theme="6" tint="0.4"/>
  </sheetPr>
  <dimension ref="A1:Q16"/>
  <sheetViews>
    <sheetView topLeftCell="A1" showGridLines="0" zoomScale="90" workbookViewId="0">
      <selection activeCell="F10" sqref="F10:G13"/>
    </sheetView>
  </sheetViews>
  <sheetFormatPr defaultColWidth="10.57421875" customHeight="1" defaultRowHeight="14.25"/>
  <cols>
    <col min="1" max="1" style="22366" width="9.140625" hidden="1" customWidth="1"/>
    <col min="2" max="2" style="22272" width="9.140625" hidden="1" customWidth="1"/>
    <col min="3" max="3" style="16633" width="3.7109375" customWidth="1"/>
    <col min="4" max="4" style="22351" width="6.28125" customWidth="1"/>
    <col min="5" max="5" style="22351" width="53.8515625" customWidth="1"/>
    <col min="6" max="7" style="22351" width="35.7109375" customWidth="1"/>
    <col min="8" max="8" style="22351" width="89.57421875" customWidth="1"/>
    <col min="9" max="9" style="22351" width="10.57421875"/>
    <col min="10" max="11" style="22352" width="10.57421875"/>
    <col min="12" max="17" style="22351" width="10.57421875"/>
  </cols>
  <sheetData>
    <row customHeight="1" ht="14.25" hidden="1">
      <c r="N1" s="477"/>
      <c r="O1" s="477"/>
      <c r="Q1" s="477"/>
    </row>
    <row s="16676" customFormat="1" customHeight="1" ht="18.75" hidden="1">
      <c r="A2" s="325"/>
      <c r="B2" s="1384"/>
      <c r="C2" s="1957" t="s">
        <v>100</v>
      </c>
      <c r="D2" s="1900"/>
      <c r="E2" s="1909"/>
      <c r="F2" s="479"/>
      <c r="G2" s="1385"/>
      <c r="H2" s="596"/>
      <c r="I2" s="1851"/>
      <c r="J2" s="1851"/>
    </row>
    <row customHeight="1" ht="14.25" hidden="1"/>
    <row customHeight="1" ht="6">
      <c r="C4" s="598"/>
      <c r="D4" s="585"/>
      <c r="E4" s="585"/>
      <c r="F4" s="585"/>
      <c r="G4" s="307"/>
      <c r="H4" s="307"/>
    </row>
    <row customHeight="1" ht="33">
      <c r="C5" s="598"/>
      <c r="D5" s="2580"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81"/>
      <c r="F5" s="2581"/>
      <c r="G5" s="2582"/>
      <c r="H5" s="488"/>
    </row>
    <row s="16676" customFormat="1" customHeight="1" ht="17.25">
      <c r="A6" s="1896"/>
      <c r="B6" s="1384"/>
      <c r="C6" s="598"/>
      <c r="D6" s="2583" t="str">
        <f>IF(org=0,"Не определено",org)</f>
        <v>КГУП "Примтеплоэнерго"</v>
      </c>
      <c r="E6" s="2584"/>
      <c r="F6" s="2584"/>
      <c r="G6" s="2585"/>
      <c r="H6" s="488"/>
      <c r="J6" s="1851"/>
      <c r="K6" s="1851"/>
    </row>
    <row customHeight="1" ht="14.25">
      <c r="C7" s="598"/>
      <c r="D7" s="585"/>
      <c r="E7" s="611"/>
      <c r="F7" s="611"/>
      <c r="G7" s="974"/>
      <c r="H7" s="415"/>
    </row>
    <row customHeight="1" ht="14.25">
      <c r="C8" s="598"/>
      <c r="D8" s="2343" t="s">
        <v>406</v>
      </c>
      <c r="E8" s="2343"/>
      <c r="F8" s="2343"/>
      <c r="G8" s="2343"/>
      <c r="H8" s="2586" t="s">
        <v>407</v>
      </c>
    </row>
    <row customHeight="1" ht="14.25">
      <c r="C9" s="598"/>
      <c r="D9" s="608" t="s">
        <v>84</v>
      </c>
      <c r="E9" s="331" t="s">
        <v>408</v>
      </c>
      <c r="F9" s="331" t="s">
        <v>409</v>
      </c>
      <c r="G9" s="331" t="s">
        <v>496</v>
      </c>
      <c r="H9" s="2586"/>
    </row>
    <row customHeight="1" ht="14.25">
      <c r="A10" s="565"/>
      <c r="C10" s="598"/>
      <c r="D10" s="370" t="s">
        <v>168</v>
      </c>
      <c r="E10" s="211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479" t="s">
        <v>1179</v>
      </c>
      <c r="G10" s="435" t="s">
        <v>1180</v>
      </c>
      <c r="H10" s="2297" t="s">
        <v>1181</v>
      </c>
    </row>
    <row customHeight="1" ht="14.25">
      <c r="A11" s="565"/>
      <c r="C11" s="598"/>
      <c r="D11" s="370" t="s">
        <v>99</v>
      </c>
      <c r="E11" s="211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479" t="s">
        <v>1182</v>
      </c>
      <c r="G11" s="435" t="s">
        <v>1180</v>
      </c>
      <c r="H11" s="2298"/>
    </row>
    <row customHeight="1" ht="14.25">
      <c r="A12" s="325"/>
      <c r="C12" s="609"/>
      <c r="D12" s="370" t="s">
        <v>86</v>
      </c>
      <c r="E12" s="610" t="str">
        <f>"Сведения о планировании закупочных процедур"&amp;IF(TEMPLATE_SPHERE="TKO"," &lt;1&gt;","")</f>
        <v>Сведения о планировании закупочных процедур</v>
      </c>
      <c r="F12" s="479" t="s">
        <v>1183</v>
      </c>
      <c r="G12" s="435" t="s">
        <v>1184</v>
      </c>
      <c r="H12" s="22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72"/>
      <c r="K12" s="596"/>
    </row>
    <row customHeight="1" ht="14.25">
      <c r="A13" s="325"/>
      <c r="C13" s="609"/>
      <c r="D13" s="370" t="s">
        <v>87</v>
      </c>
      <c r="E13" s="610" t="str">
        <f>"Сведения о результатах проведения закупочных процедур"&amp;IF(TEMPLATE_SPHERE="TKO"," &lt;1&gt;","")</f>
        <v>Сведения о результатах проведения закупочных процедур</v>
      </c>
      <c r="F13" s="479" t="s">
        <v>1185</v>
      </c>
      <c r="G13" s="435" t="s">
        <v>1184</v>
      </c>
      <c r="H13" s="2298"/>
      <c r="I13" s="572"/>
      <c r="K13" s="596"/>
    </row>
    <row customHeight="1" ht="14.25">
      <c r="A14" s="565"/>
      <c r="C14" s="598"/>
      <c r="D14" s="569"/>
      <c r="E14" s="617" t="s">
        <v>428</v>
      </c>
      <c r="F14" s="571"/>
      <c r="G14" s="423"/>
      <c r="H14" s="2299"/>
    </row>
    <row s="16676" customFormat="1" customHeight="1" ht="14.25">
      <c r="A15" s="565"/>
      <c r="B15" s="1384"/>
      <c r="C15" s="598"/>
      <c r="D15" s="618"/>
      <c r="E15" s="1904"/>
      <c r="F15" s="1905"/>
      <c r="G15" s="1906"/>
      <c r="H15" s="1907"/>
      <c r="J15" s="1851"/>
      <c r="K15" s="1851"/>
    </row>
    <row customHeight="1" ht="14.25">
      <c r="D16" s="1908"/>
      <c r="E16" s="2517"/>
      <c r="F16" s="2517"/>
      <c r="G16" s="2517"/>
      <c r="H16" s="251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1A898B-6151-96CF-C852-82D4094FB46E}"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16403" width="9.140625" hidden="1" customWidth="1"/>
    <col min="2" max="2" style="16406" width="9.140625" hidden="1" customWidth="1"/>
    <col min="3" max="3" style="22022" width="4.7109375" customWidth="1"/>
    <col min="4" max="4" style="16406" width="6.28125" customWidth="1"/>
    <col min="5" max="5" style="16406" width="47.8515625" customWidth="1"/>
    <col min="6" max="6" style="16406" width="9.57421875" customWidth="1"/>
    <col min="7" max="7" style="15861" width="25.7109375" hidden="1" customWidth="1"/>
    <col min="8" max="8" style="15861" width="34.00390625" hidden="1" customWidth="1"/>
    <col min="9" max="9" style="16406" width="25.7109375" customWidth="1"/>
    <col min="10" max="10" style="16406" width="34.00390625" customWidth="1"/>
    <col min="11" max="11" style="15862" width="50.8515625" customWidth="1"/>
    <col min="12" max="20" style="16406" width="10.57421875"/>
    <col min="21" max="21" style="22023" width="10.57421875"/>
  </cols>
  <sheetData>
    <row s="15862" customFormat="1" customHeight="1" ht="15" hidden="1">
      <c r="C1" s="894"/>
      <c r="G1" s="639">
        <v>4</v>
      </c>
      <c r="I1" s="639">
        <v>4</v>
      </c>
      <c r="U1" s="642"/>
    </row>
    <row s="21835" customFormat="1" customHeight="1" ht="15" hidden="1">
      <c r="A2" s="584"/>
      <c r="C2" s="399"/>
      <c r="D2" s="568"/>
      <c r="E2" s="895"/>
      <c r="F2" s="744"/>
      <c r="G2" s="838"/>
      <c r="H2" s="838"/>
      <c r="I2" s="838"/>
      <c r="J2" s="838"/>
      <c r="U2" s="896"/>
    </row>
    <row s="15862" customFormat="1" customHeight="1" ht="15" hidden="1">
      <c r="C3" s="894"/>
      <c r="U3" s="642"/>
    </row>
    <row customHeight="1" ht="15">
      <c r="C4" s="399"/>
      <c r="D4" s="731"/>
      <c r="E4" s="731"/>
      <c r="F4" s="731"/>
      <c r="G4" s="731"/>
      <c r="H4" s="731"/>
      <c r="I4" s="731"/>
      <c r="J4" s="731"/>
    </row>
    <row customHeight="1" ht="63">
      <c r="C5" s="399"/>
      <c r="D5" s="2366" t="s">
        <v>1186</v>
      </c>
      <c r="E5" s="2366"/>
      <c r="F5" s="2366"/>
      <c r="G5" s="2366"/>
      <c r="H5" s="2366"/>
      <c r="I5" s="2366"/>
      <c r="J5" s="2366"/>
    </row>
    <row customHeight="1" ht="15">
      <c r="C6" s="399"/>
      <c r="D6" s="2335" t="str">
        <f>IF(org=0,"Не определено",org)</f>
        <v>КГУП "Примтеплоэнерго"</v>
      </c>
      <c r="E6" s="2335"/>
      <c r="F6" s="2335"/>
      <c r="G6" s="2335"/>
      <c r="H6" s="2335"/>
      <c r="I6" s="2335"/>
      <c r="J6" s="2335"/>
      <c r="K6" s="759"/>
    </row>
    <row customHeight="1" ht="15">
      <c r="C7" s="399"/>
      <c r="D7" s="974"/>
      <c r="E7" s="731"/>
      <c r="F7" s="731"/>
      <c r="G7" s="759">
        <v>22</v>
      </c>
      <c r="I7" s="759">
        <v>1</v>
      </c>
      <c r="J7" s="974"/>
    </row>
    <row s="15861" customFormat="1" customHeight="1" ht="0.75">
      <c r="A8" s="981"/>
      <c r="C8" s="399"/>
      <c r="D8" s="731"/>
      <c r="E8" s="731"/>
      <c r="F8" s="731"/>
      <c r="G8" s="759"/>
      <c r="H8" s="974"/>
      <c r="I8" s="759" t="s">
        <v>173</v>
      </c>
      <c r="J8" s="974"/>
      <c r="K8" s="639"/>
      <c r="U8" s="897"/>
    </row>
    <row customHeight="1" ht="15">
      <c r="C9" s="399"/>
      <c r="D9" s="933"/>
      <c r="E9" s="2497" t="s">
        <v>164</v>
      </c>
      <c r="F9" s="2498"/>
      <c r="G9" s="2520" t="str">
        <f>IF(G8="","",INDEX(DIFFERENTIATION_UNMERGE_VD,MATCH(G8,DIFFERENTIATION_ID_DIFF,0)))</f>
        <v/>
      </c>
      <c r="H9" s="2521"/>
      <c r="I9" s="2520">
        <f>IF(I8="","",INDEX(DIFFERENTIATION_UNMERGE_VD,MATCH(I8,DIFFERENTIATION_ID_DIFF,0)))</f>
        <v>0</v>
      </c>
      <c r="J9" s="2521"/>
      <c r="K9" s="2310" t="s">
        <v>407</v>
      </c>
    </row>
    <row s="15861" customFormat="1" customHeight="1" ht="15">
      <c r="A10" s="981"/>
      <c r="C10" s="399"/>
      <c r="D10" s="933"/>
      <c r="E10" s="2497" t="s">
        <v>670</v>
      </c>
      <c r="F10" s="2498"/>
      <c r="G10" s="2520" t="str">
        <f>IF(G8="","",INDEX(DIFFERENTIATION_UNMERGE_AREA,MATCH(G8,DIFFERENTIATION_ID_DIFF,0)))</f>
        <v/>
      </c>
      <c r="H10" s="2521"/>
      <c r="I10" s="2520" t="str">
        <f>IF(I8="","",INDEX(DIFFERENTIATION_UNMERGE_AREA,MATCH(I8,DIFFERENTIATION_ID_DIFF,0)))</f>
        <v/>
      </c>
      <c r="J10" s="2521"/>
      <c r="K10" s="2318"/>
      <c r="U10" s="897"/>
    </row>
    <row s="15861" customFormat="1" customHeight="1" ht="15">
      <c r="A11" s="981"/>
      <c r="C11" s="399"/>
      <c r="D11" s="933"/>
      <c r="E11" s="2497" t="s">
        <v>671</v>
      </c>
      <c r="F11" s="2498"/>
      <c r="G11" s="2520" t="str">
        <f>IF(G8="","",INDEX(DIFFERENTIATION_UNMERGE_SYSTEM,MATCH(G8,DIFFERENTIATION_ID_DIFF,0)))</f>
        <v/>
      </c>
      <c r="H11" s="2521"/>
      <c r="I11" s="2520" t="str">
        <f>IF(I8="","",INDEX(DIFFERENTIATION_UNMERGE_SYSTEM,MATCH(I8,DIFFERENTIATION_ID_DIFF,0)))</f>
        <v>без дифференциации</v>
      </c>
      <c r="J11" s="2521"/>
      <c r="K11" s="2318"/>
      <c r="U11" s="897"/>
    </row>
    <row s="15861" customFormat="1" customHeight="1" ht="15">
      <c r="A12" s="981"/>
      <c r="C12" s="399"/>
      <c r="D12" s="2499" t="s">
        <v>406</v>
      </c>
      <c r="E12" s="2500"/>
      <c r="F12" s="2500"/>
      <c r="G12" s="1109"/>
      <c r="H12" s="1109"/>
      <c r="I12" s="1109"/>
      <c r="J12" s="1109"/>
      <c r="K12" s="2318"/>
      <c r="U12" s="897"/>
    </row>
    <row customHeight="1" ht="33.75">
      <c r="C13" s="399"/>
      <c r="D13" s="1027" t="s">
        <v>84</v>
      </c>
      <c r="E13" s="1029" t="s">
        <v>408</v>
      </c>
      <c r="F13" s="1029" t="s">
        <v>672</v>
      </c>
      <c r="G13" s="1030" t="s">
        <v>409</v>
      </c>
      <c r="H13" s="1029" t="s">
        <v>496</v>
      </c>
      <c r="I13" s="1030" t="s">
        <v>409</v>
      </c>
      <c r="J13" s="1029" t="s">
        <v>496</v>
      </c>
      <c r="K13" s="2371"/>
    </row>
    <row customHeight="1" ht="15" hidden="1">
      <c r="C14" s="399"/>
      <c r="D14" s="815" t="s">
        <v>168</v>
      </c>
      <c r="E14" s="815" t="s">
        <v>99</v>
      </c>
      <c r="F14" s="815" t="s">
        <v>86</v>
      </c>
      <c r="G14" s="881" t="str">
        <f>G1&amp;".1"</f>
        <v>4.1</v>
      </c>
      <c r="H14" s="881"/>
      <c r="I14" s="881" t="str">
        <f>I1&amp;".1"</f>
        <v>4.1</v>
      </c>
      <c r="J14" s="881"/>
      <c r="K14" s="511"/>
    </row>
    <row customHeight="1" ht="22.5" hidden="1">
      <c r="A15" s="727"/>
      <c r="C15" s="748"/>
      <c r="D15" s="743">
        <v>1</v>
      </c>
      <c r="E15" s="899" t="s">
        <v>829</v>
      </c>
      <c r="F15" s="743" t="s">
        <v>830</v>
      </c>
      <c r="G15" s="900"/>
      <c r="H15" s="900"/>
      <c r="I15" s="900"/>
      <c r="J15" s="900"/>
      <c r="K15" s="511" t="s">
        <v>831</v>
      </c>
    </row>
    <row customHeight="1" ht="22.5" hidden="1">
      <c r="A16" s="727"/>
      <c r="C16" s="748"/>
      <c r="D16" s="743">
        <v>2</v>
      </c>
      <c r="E16" s="501" t="s">
        <v>832</v>
      </c>
      <c r="F16" s="743" t="s">
        <v>833</v>
      </c>
      <c r="G16" s="900"/>
      <c r="H16" s="900"/>
      <c r="I16" s="900"/>
      <c r="J16" s="900"/>
      <c r="K16" s="511" t="s">
        <v>834</v>
      </c>
    </row>
    <row customHeight="1" ht="123.75" hidden="1">
      <c r="A17" s="727"/>
      <c r="C17" s="748"/>
      <c r="D17" s="743">
        <v>3</v>
      </c>
      <c r="E17" s="501" t="s">
        <v>1187</v>
      </c>
      <c r="F17" s="743" t="s">
        <v>412</v>
      </c>
      <c r="G17" s="900"/>
      <c r="H17" s="900"/>
      <c r="I17" s="900"/>
      <c r="J17" s="900"/>
      <c r="K17" s="511" t="s">
        <v>1188</v>
      </c>
    </row>
    <row customHeight="1" ht="45">
      <c r="A18" s="727"/>
      <c r="C18" s="748"/>
      <c r="D18" s="743">
        <v>3</v>
      </c>
      <c r="E18" s="501" t="s">
        <v>835</v>
      </c>
      <c r="F18" s="743" t="s">
        <v>412</v>
      </c>
      <c r="G18" s="1031" t="s">
        <v>412</v>
      </c>
      <c r="H18" s="1032" t="s">
        <v>412</v>
      </c>
      <c r="I18" s="743" t="s">
        <v>412</v>
      </c>
      <c r="J18" s="800" t="s">
        <v>412</v>
      </c>
      <c r="K18" s="511" t="s">
        <v>1189</v>
      </c>
    </row>
    <row customHeight="1" ht="33.75">
      <c r="A19" s="727"/>
      <c r="C19" s="748"/>
      <c r="D19" s="761" t="s">
        <v>430</v>
      </c>
      <c r="E19" s="781" t="s">
        <v>837</v>
      </c>
      <c r="F19" s="743" t="s">
        <v>838</v>
      </c>
      <c r="G19" s="1039"/>
      <c r="H19" s="329"/>
      <c r="I19" s="1039"/>
      <c r="J19" s="1040"/>
      <c r="K19" s="901"/>
    </row>
    <row customHeight="1" ht="33.75">
      <c r="A20" s="727"/>
      <c r="C20" s="748"/>
      <c r="D20" s="2118" t="s">
        <v>438</v>
      </c>
      <c r="E20" s="781" t="s">
        <v>839</v>
      </c>
      <c r="F20" s="743" t="s">
        <v>840</v>
      </c>
      <c r="G20" s="1039"/>
      <c r="H20" s="329"/>
      <c r="I20" s="1039"/>
      <c r="J20" s="329"/>
      <c r="K20" s="901"/>
    </row>
    <row customHeight="1" ht="45">
      <c r="A21" s="727"/>
      <c r="C21" s="748"/>
      <c r="D21" s="2118" t="s">
        <v>440</v>
      </c>
      <c r="E21" s="781" t="s">
        <v>841</v>
      </c>
      <c r="F21" s="743" t="s">
        <v>677</v>
      </c>
      <c r="G21" s="902"/>
      <c r="H21" s="329"/>
      <c r="I21" s="902"/>
      <c r="J21" s="329"/>
      <c r="K21" s="901"/>
    </row>
    <row customHeight="1" ht="67.5" hidden="1">
      <c r="A22" s="727"/>
      <c r="C22" s="748"/>
      <c r="D22" s="743">
        <v>5</v>
      </c>
      <c r="E22" s="501" t="s">
        <v>1190</v>
      </c>
      <c r="F22" s="743" t="s">
        <v>664</v>
      </c>
      <c r="G22" s="903"/>
      <c r="H22" s="904"/>
      <c r="I22" s="903"/>
      <c r="J22" s="904"/>
      <c r="K22" s="511" t="s">
        <v>1191</v>
      </c>
    </row>
    <row customHeight="1" ht="33.75" hidden="1">
      <c r="C23" s="673"/>
      <c r="D23" s="743">
        <v>6</v>
      </c>
      <c r="E23" s="501" t="s">
        <v>1192</v>
      </c>
      <c r="F23" s="743" t="s">
        <v>1193</v>
      </c>
      <c r="G23" s="903"/>
      <c r="H23" s="903"/>
      <c r="I23" s="903"/>
      <c r="J23" s="903"/>
      <c r="K23" s="511" t="s">
        <v>1194</v>
      </c>
    </row>
    <row r="29" customHeight="1" ht="15">
      <c r="J29" s="1041"/>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F2DE7B1-2331-AE3A-FC8E-1C8BD3B9AAE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22476" width="32.57421875" customWidth="1"/>
    <col min="2" max="2" style="22477" width="11.00390625" customWidth="1"/>
    <col min="3" max="3" style="22477" width="9.140625"/>
    <col min="4" max="4" style="22477" width="26.57421875" customWidth="1"/>
    <col min="5" max="5" style="22478" width="27.7109375" customWidth="1"/>
    <col min="6" max="6" style="22478" width="23.57421875" customWidth="1"/>
    <col min="7" max="7" style="22478" width="31.421875" customWidth="1"/>
    <col min="8" max="8" style="22478" width="40.8515625" customWidth="1"/>
    <col min="9" max="9" style="22478" width="14.57421875" customWidth="1"/>
    <col min="10" max="10" style="22478" width="26.8515625" customWidth="1"/>
    <col min="11" max="11" style="22478" width="50.00390625" customWidth="1"/>
    <col min="12" max="12" style="22478" width="52.421875" customWidth="1"/>
    <col min="13" max="13" style="22478" width="10.7109375" customWidth="1"/>
    <col min="14" max="14" style="22478" width="55.140625" customWidth="1"/>
    <col min="15" max="15" style="22478" width="31.8515625" customWidth="1"/>
    <col min="16" max="16" style="22478" width="23.8515625" customWidth="1"/>
    <col min="17" max="17" style="22478" width="46.57421875" customWidth="1"/>
    <col min="18" max="18" style="22478" width="24.00390625" customWidth="1"/>
    <col min="19" max="19" style="22478" width="20.57421875" customWidth="1"/>
    <col min="20" max="20" style="22478" width="22.00390625" customWidth="1"/>
    <col min="21" max="22" style="22478" width="26.421875" customWidth="1"/>
    <col min="23" max="23" style="22478" width="8.28125" hidden="1" customWidth="1"/>
    <col min="24" max="24" style="22478" width="59.7109375" customWidth="1"/>
    <col min="25" max="25" style="22478" width="49.140625" customWidth="1"/>
    <col min="26" max="26" style="22478" width="11.140625" customWidth="1"/>
    <col min="27" max="30" style="22478" width="29.00390625" customWidth="1"/>
    <col min="31" max="31" style="22478" width="9.140625"/>
    <col min="32" max="32" style="22478" width="34.7109375" customWidth="1"/>
    <col min="33" max="33" style="22478" width="9.140625"/>
    <col min="34" max="35" style="22478" width="34.421875" customWidth="1"/>
    <col min="36" max="36" style="22478" width="9.140625"/>
    <col min="37" max="37" style="22478" width="24.57421875" customWidth="1"/>
    <col min="38" max="38" style="22478" width="9.140625"/>
    <col min="39" max="39" style="22478" width="26.140625" customWidth="1"/>
    <col min="40" max="40" style="22478" width="1.7109375" customWidth="1"/>
    <col min="41" max="41" style="22478" width="9.140625"/>
    <col min="42" max="43" style="22478" width="47.8515625" customWidth="1"/>
    <col min="44" max="44" style="22478" width="1.7109375" customWidth="1"/>
    <col min="45" max="45" style="22478" width="21.421875" customWidth="1"/>
    <col min="46" max="46" style="22478" width="1.7109375" customWidth="1"/>
    <col min="47" max="47" style="22478" width="31.28125" customWidth="1"/>
    <col min="48" max="48" style="22478" width="1.7109375" customWidth="1"/>
    <col min="49" max="50" style="22479" width="9.140625"/>
    <col min="51" max="51" style="22478" width="3.7109375" customWidth="1"/>
    <col min="52" max="52" style="22478" width="60.8515625" customWidth="1"/>
    <col min="53" max="53" style="22478" width="49.28125" customWidth="1"/>
    <col min="54" max="54" style="22478" width="35.140625" customWidth="1"/>
    <col min="55" max="55" style="22478" width="9.140625"/>
    <col min="56" max="56" style="22478" width="1.7109375" customWidth="1"/>
    <col min="57" max="57" style="22480" width="12.57421875" customWidth="1"/>
    <col min="58" max="58" style="22480" width="14.28125" customWidth="1"/>
    <col min="59" max="59" style="22478" width="30.7109375" customWidth="1"/>
    <col min="60" max="60" style="22481" width="40.7109375" customWidth="1"/>
    <col min="61" max="61" style="22481" width="15.00390625" customWidth="1"/>
    <col min="62" max="62" style="22481" width="40.7109375" customWidth="1"/>
    <col min="63" max="63" style="22481" width="2.7109375" customWidth="1"/>
    <col min="64" max="64" style="22481" width="44.7109375" customWidth="1"/>
    <col min="65" max="65" style="22481" width="2.7109375" customWidth="1"/>
    <col min="66" max="66" style="22481" width="40.7109375" customWidth="1"/>
    <col min="67" max="68" style="22478" width="9.140625"/>
    <col min="69" max="69" style="22478" width="18.140625" customWidth="1"/>
    <col min="70" max="70" style="22478" width="57.8515625" customWidth="1"/>
    <col min="71" max="71" style="22482" width="1.7109375" customWidth="1"/>
    <col min="72" max="72" style="22478" width="22.57421875" customWidth="1"/>
    <col min="73" max="73" style="22478" width="57.8515625" customWidth="1"/>
    <col min="74" max="74" style="22478" width="1.7109375" customWidth="1"/>
    <col min="75" max="75" style="22478" width="22.57421875" customWidth="1"/>
    <col min="76" max="76" style="22478" width="57.8515625" customWidth="1"/>
    <col min="77" max="77" style="22478" width="1.7109375" customWidth="1"/>
    <col min="78" max="78" style="22478" width="22.57421875" customWidth="1"/>
    <col min="79" max="79" style="22478" width="57.8515625" customWidth="1"/>
    <col min="80" max="81" style="22478" width="9.140625"/>
    <col min="82" max="82" style="22478" width="49.57421875" customWidth="1"/>
  </cols>
  <sheetData>
    <row s="22379" customFormat="1" customHeight="1" ht="11.25">
      <c r="A1" s="1290" t="s">
        <v>1195</v>
      </c>
      <c r="B1" s="1290" t="s">
        <v>1196</v>
      </c>
      <c r="C1" s="1290" t="s">
        <v>1197</v>
      </c>
      <c r="D1" s="1290" t="s">
        <v>1198</v>
      </c>
      <c r="E1" s="1290" t="s">
        <v>1199</v>
      </c>
      <c r="F1" s="1290" t="s">
        <v>1200</v>
      </c>
      <c r="G1" s="1290" t="s">
        <v>1201</v>
      </c>
      <c r="H1" s="1290" t="s">
        <v>1202</v>
      </c>
      <c r="I1" s="1290" t="s">
        <v>1203</v>
      </c>
      <c r="J1" s="1290" t="s">
        <v>1204</v>
      </c>
      <c r="K1" s="1290" t="s">
        <v>1205</v>
      </c>
      <c r="L1" s="1290" t="s">
        <v>1206</v>
      </c>
      <c r="M1" s="1290"/>
      <c r="N1" s="1290" t="s">
        <v>1207</v>
      </c>
      <c r="O1" s="1290" t="s">
        <v>1208</v>
      </c>
      <c r="P1" s="1290" t="s">
        <v>1209</v>
      </c>
      <c r="Q1" s="1290" t="s">
        <v>1210</v>
      </c>
      <c r="R1" s="1290" t="s">
        <v>1211</v>
      </c>
      <c r="S1" s="1290" t="s">
        <v>1212</v>
      </c>
      <c r="T1" s="1290" t="s">
        <v>1213</v>
      </c>
      <c r="U1" s="1290" t="s">
        <v>1214</v>
      </c>
      <c r="V1" s="1290"/>
      <c r="W1" s="1019" t="s">
        <v>1215</v>
      </c>
      <c r="X1" s="1290" t="s">
        <v>1216</v>
      </c>
      <c r="Y1" s="1290" t="s">
        <v>1217</v>
      </c>
      <c r="Z1" s="1290"/>
      <c r="AA1" s="1290" t="s">
        <v>1218</v>
      </c>
      <c r="AB1" s="1290"/>
      <c r="AC1" s="1290" t="s">
        <v>1219</v>
      </c>
      <c r="AD1" s="1290"/>
      <c r="AF1" s="1290" t="s">
        <v>1220</v>
      </c>
      <c r="AH1" s="1290" t="s">
        <v>1221</v>
      </c>
      <c r="AI1" s="1290" t="s">
        <v>1222</v>
      </c>
      <c r="AK1" s="1290" t="s">
        <v>1223</v>
      </c>
      <c r="AM1" s="1290" t="s">
        <v>1224</v>
      </c>
      <c r="AP1" s="1290" t="s">
        <v>1225</v>
      </c>
      <c r="AQ1" s="1290" t="s">
        <v>1226</v>
      </c>
      <c r="AS1" s="1290" t="s">
        <v>1227</v>
      </c>
      <c r="AU1" s="1290" t="s">
        <v>1228</v>
      </c>
      <c r="AW1" s="1290" t="s">
        <v>1229</v>
      </c>
      <c r="AX1" s="1290" t="s">
        <v>1230</v>
      </c>
      <c r="AZ1" s="1376" t="s">
        <v>1231</v>
      </c>
      <c r="BB1" s="1290" t="s">
        <v>1232</v>
      </c>
      <c r="BC1" s="1290"/>
      <c r="BE1" s="1290" t="s">
        <v>1233</v>
      </c>
      <c r="BF1" s="1290" t="s">
        <v>1234</v>
      </c>
      <c r="BH1" s="1292" t="s">
        <v>828</v>
      </c>
      <c r="BI1" s="1293"/>
      <c r="BJ1" s="1294" t="s">
        <v>1235</v>
      </c>
      <c r="BK1" s="1293"/>
      <c r="BL1" s="1295" t="s">
        <v>929</v>
      </c>
      <c r="BM1" s="1293"/>
      <c r="BN1" s="1296" t="s">
        <v>1236</v>
      </c>
      <c r="BS1" s="1654"/>
    </row>
    <row customHeight="1" ht="11.25">
      <c r="A2" s="1297" t="s">
        <v>1237</v>
      </c>
      <c r="B2" s="1298">
        <v>2000</v>
      </c>
      <c r="C2" s="1298">
        <v>2022</v>
      </c>
      <c r="D2" s="1298" t="s">
        <v>63</v>
      </c>
      <c r="E2" s="1299" t="s">
        <v>1238</v>
      </c>
      <c r="F2" s="1299" t="s">
        <v>1239</v>
      </c>
      <c r="G2" s="1299" t="s">
        <v>1240</v>
      </c>
      <c r="H2" s="1300" t="s">
        <v>51</v>
      </c>
      <c r="I2" s="1299" t="s">
        <v>168</v>
      </c>
      <c r="J2" s="1299" t="s">
        <v>1241</v>
      </c>
      <c r="K2" s="1301" t="s">
        <v>1242</v>
      </c>
      <c r="L2" s="1302"/>
      <c r="M2" s="1301">
        <v>1</v>
      </c>
      <c r="N2" s="1386" t="s">
        <v>1243</v>
      </c>
      <c r="O2" s="1300" t="s">
        <v>1244</v>
      </c>
      <c r="P2" s="1303" t="s">
        <v>1245</v>
      </c>
      <c r="Q2" s="1304" t="s">
        <v>647</v>
      </c>
      <c r="R2" s="366" t="s">
        <v>1246</v>
      </c>
      <c r="S2" s="366" t="s">
        <v>1247</v>
      </c>
      <c r="T2" s="1305" t="s">
        <v>1248</v>
      </c>
      <c r="U2" s="1302" t="s">
        <v>1249</v>
      </c>
      <c r="V2" s="1306">
        <v>1</v>
      </c>
      <c r="W2" s="1307"/>
      <c r="X2" s="1307" t="s">
        <v>1250</v>
      </c>
      <c r="Y2" s="1298" t="s">
        <v>1251</v>
      </c>
      <c r="Z2" s="1308"/>
      <c r="AA2" s="1298" t="s">
        <v>1252</v>
      </c>
      <c r="AB2" s="1309" t="s">
        <v>1252</v>
      </c>
      <c r="AC2" s="1298" t="s">
        <v>1253</v>
      </c>
      <c r="AD2" s="1309" t="s">
        <v>1253</v>
      </c>
      <c r="AF2" s="1300" t="s">
        <v>1249</v>
      </c>
      <c r="AH2" s="1299" t="s">
        <v>1254</v>
      </c>
      <c r="AI2" s="1299" t="s">
        <v>1254</v>
      </c>
      <c r="AK2" s="1299" t="s">
        <v>1255</v>
      </c>
      <c r="AM2" s="1299" t="s">
        <v>1256</v>
      </c>
      <c r="AP2" s="1310" t="s">
        <v>1250</v>
      </c>
      <c r="AQ2" s="1311" t="s">
        <v>1250</v>
      </c>
      <c r="AS2" s="1298" t="s">
        <v>1257</v>
      </c>
      <c r="AU2" s="1344" t="s">
        <v>1258</v>
      </c>
      <c r="AW2" s="1344" t="s">
        <v>1259</v>
      </c>
      <c r="AX2" s="1344" t="s">
        <v>1259</v>
      </c>
      <c r="AZ2" s="1344" t="s">
        <v>1260</v>
      </c>
      <c r="BB2" s="1344" t="s">
        <v>1261</v>
      </c>
      <c r="BC2" s="1344" t="s">
        <v>1262</v>
      </c>
      <c r="BE2" s="1344">
        <v>2000</v>
      </c>
      <c r="BF2" s="1344" t="s">
        <v>1263</v>
      </c>
    </row>
    <row customHeight="1" ht="11.25">
      <c r="A3" s="1297" t="s">
        <v>1264</v>
      </c>
      <c r="B3" s="1298">
        <v>2001</v>
      </c>
      <c r="C3" s="1298">
        <v>2023</v>
      </c>
      <c r="D3" s="1298" t="s">
        <v>53</v>
      </c>
      <c r="E3" s="1299" t="s">
        <v>1265</v>
      </c>
      <c r="F3" s="1299" t="s">
        <v>1266</v>
      </c>
      <c r="G3" s="1299" t="s">
        <v>1267</v>
      </c>
      <c r="H3" s="1300" t="s">
        <v>1268</v>
      </c>
      <c r="I3" s="1299" t="s">
        <v>99</v>
      </c>
      <c r="J3" s="1299" t="s">
        <v>662</v>
      </c>
      <c r="K3" s="1301" t="s">
        <v>1174</v>
      </c>
      <c r="L3" s="1302">
        <f>_xlfn.IFERROR(MATCH(K3,OFFER_METHOD,0),0)</f>
        <v>40</v>
      </c>
      <c r="M3" s="1301">
        <v>2</v>
      </c>
      <c r="N3" s="1386" t="s">
        <v>1269</v>
      </c>
      <c r="O3" s="1300" t="s">
        <v>1270</v>
      </c>
      <c r="P3" s="1303" t="s">
        <v>33</v>
      </c>
      <c r="Q3" s="1304" t="s">
        <v>1271</v>
      </c>
      <c r="R3" s="366" t="s">
        <v>1272</v>
      </c>
      <c r="S3" s="366" t="s">
        <v>1273</v>
      </c>
      <c r="T3" s="1305" t="s">
        <v>1274</v>
      </c>
      <c r="U3" s="1302" t="s">
        <v>1275</v>
      </c>
      <c r="V3" s="1306">
        <v>2</v>
      </c>
      <c r="W3" s="1307"/>
      <c r="X3" s="1307" t="s">
        <v>1276</v>
      </c>
      <c r="Y3" s="1298" t="s">
        <v>1251</v>
      </c>
      <c r="Z3" s="1308"/>
      <c r="AA3" s="1298" t="s">
        <v>1277</v>
      </c>
      <c r="AB3" s="1309" t="s">
        <v>1277</v>
      </c>
      <c r="AC3" s="1298" t="s">
        <v>1278</v>
      </c>
      <c r="AD3" s="1309" t="s">
        <v>1278</v>
      </c>
      <c r="AF3" s="1300" t="s">
        <v>1275</v>
      </c>
      <c r="AH3" s="1299" t="s">
        <v>1279</v>
      </c>
      <c r="AI3" s="1299" t="s">
        <v>1280</v>
      </c>
      <c r="AK3" s="1299" t="s">
        <v>1281</v>
      </c>
      <c r="AM3" s="1299" t="s">
        <v>1282</v>
      </c>
      <c r="AP3" s="1310" t="s">
        <v>1283</v>
      </c>
      <c r="AQ3" s="1311" t="s">
        <v>1283</v>
      </c>
      <c r="AS3" s="1298" t="s">
        <v>1284</v>
      </c>
      <c r="AU3" s="1344" t="s">
        <v>1285</v>
      </c>
      <c r="AW3" s="1344" t="s">
        <v>1286</v>
      </c>
      <c r="AX3" s="1344" t="s">
        <v>1286</v>
      </c>
      <c r="AZ3" s="1344" t="s">
        <v>1287</v>
      </c>
      <c r="BB3" s="1344" t="s">
        <v>1288</v>
      </c>
      <c r="BC3" s="1344" t="s">
        <v>1262</v>
      </c>
      <c r="BE3" s="1344">
        <v>2001</v>
      </c>
      <c r="BF3" s="1344" t="s">
        <v>1289</v>
      </c>
      <c r="BH3" s="1290" t="s">
        <v>1290</v>
      </c>
      <c r="BJ3" s="1290" t="s">
        <v>1291</v>
      </c>
      <c r="BL3" s="1290" t="s">
        <v>1292</v>
      </c>
      <c r="BN3" s="1290" t="s">
        <v>1293</v>
      </c>
      <c r="BR3" s="1290" t="s">
        <v>1294</v>
      </c>
      <c r="BS3" s="1655"/>
      <c r="BT3" s="1293"/>
      <c r="BU3" s="1290" t="s">
        <v>1295</v>
      </c>
      <c r="BV3" s="1293"/>
      <c r="BW3" s="1917"/>
      <c r="BX3" s="1919" t="s">
        <v>1296</v>
      </c>
      <c r="CA3" s="1290" t="s">
        <v>1297</v>
      </c>
    </row>
    <row customHeight="1" ht="11.25">
      <c r="A4" s="1297" t="s">
        <v>1298</v>
      </c>
      <c r="B4" s="1298">
        <v>2002</v>
      </c>
      <c r="C4" s="1298">
        <v>2024</v>
      </c>
      <c r="E4" s="1299" t="s">
        <v>1299</v>
      </c>
      <c r="F4" s="1299" t="s">
        <v>1300</v>
      </c>
      <c r="H4" s="1300" t="s">
        <v>1301</v>
      </c>
      <c r="I4" s="1299" t="s">
        <v>86</v>
      </c>
      <c r="J4" s="1299" t="s">
        <v>1302</v>
      </c>
      <c r="K4" s="1301" t="s">
        <v>1303</v>
      </c>
      <c r="L4" s="1302">
        <f>_xlfn.IFERROR(MATCH(K4,OFFER_METHOD,0),0)</f>
        <v>0</v>
      </c>
      <c r="M4" s="1301">
        <v>3</v>
      </c>
      <c r="N4" s="1386" t="s">
        <v>1304</v>
      </c>
      <c r="O4" s="1299" t="s">
        <v>1305</v>
      </c>
      <c r="Q4" s="1304" t="s">
        <v>1306</v>
      </c>
      <c r="R4" s="366" t="s">
        <v>1307</v>
      </c>
      <c r="S4" s="366" t="s">
        <v>1308</v>
      </c>
      <c r="T4" s="1305" t="s">
        <v>1309</v>
      </c>
      <c r="U4" s="1302" t="s">
        <v>1310</v>
      </c>
      <c r="V4" s="1306">
        <v>3</v>
      </c>
      <c r="W4" s="1307"/>
      <c r="X4" s="1307" t="s">
        <v>1311</v>
      </c>
      <c r="Y4" s="1298" t="s">
        <v>1251</v>
      </c>
      <c r="Z4" s="1314"/>
      <c r="AC4" s="1298" t="s">
        <v>1312</v>
      </c>
      <c r="AD4" s="1309" t="s">
        <v>1312</v>
      </c>
      <c r="AF4" s="1300" t="s">
        <v>1310</v>
      </c>
      <c r="AH4" s="1300" t="s">
        <v>1313</v>
      </c>
      <c r="AK4" s="1299" t="s">
        <v>1314</v>
      </c>
      <c r="AM4" s="1299" t="s">
        <v>1315</v>
      </c>
      <c r="AP4" s="1310" t="s">
        <v>1276</v>
      </c>
      <c r="AQ4" s="1311" t="s">
        <v>1276</v>
      </c>
      <c r="AS4" s="1298" t="s">
        <v>1316</v>
      </c>
      <c r="AU4" s="1344" t="s">
        <v>1317</v>
      </c>
      <c r="AW4" s="1344" t="s">
        <v>1318</v>
      </c>
      <c r="AX4" s="1344" t="s">
        <v>1318</v>
      </c>
      <c r="AZ4" s="1344" t="s">
        <v>1319</v>
      </c>
      <c r="BB4" s="1344" t="s">
        <v>1320</v>
      </c>
      <c r="BC4" s="1344" t="s">
        <v>1321</v>
      </c>
      <c r="BE4" s="1344">
        <v>2002</v>
      </c>
      <c r="BF4" s="1344" t="s">
        <v>1322</v>
      </c>
      <c r="BH4" s="1291" t="s">
        <v>1323</v>
      </c>
      <c r="BJ4" s="1291" t="s">
        <v>1323</v>
      </c>
      <c r="BL4" s="1291" t="s">
        <v>1323</v>
      </c>
      <c r="BN4" s="1291" t="s">
        <v>1323</v>
      </c>
      <c r="BQ4" s="1659" t="s">
        <v>1324</v>
      </c>
      <c r="BR4" s="1383" t="s">
        <v>1325</v>
      </c>
      <c r="BS4" s="496"/>
      <c r="BT4" s="1659" t="s">
        <v>1326</v>
      </c>
      <c r="BU4" s="1383" t="s">
        <v>1327</v>
      </c>
      <c r="BV4" s="1293"/>
      <c r="BW4" s="1924" t="s">
        <v>1328</v>
      </c>
      <c r="BX4" s="1918" t="s">
        <v>1329</v>
      </c>
      <c r="BZ4" s="1659" t="s">
        <v>1330</v>
      </c>
      <c r="CA4" s="1383" t="s">
        <v>1331</v>
      </c>
    </row>
    <row customHeight="1" ht="11.25">
      <c r="A5" s="1297" t="s">
        <v>1332</v>
      </c>
      <c r="B5" s="1298">
        <v>2003</v>
      </c>
      <c r="C5" s="1298">
        <v>2025</v>
      </c>
      <c r="E5" s="1299" t="s">
        <v>1333</v>
      </c>
      <c r="F5" s="1299" t="s">
        <v>1334</v>
      </c>
      <c r="H5" s="1300" t="s">
        <v>1335</v>
      </c>
      <c r="I5" s="1299" t="s">
        <v>87</v>
      </c>
      <c r="K5" s="1301" t="s">
        <v>1336</v>
      </c>
      <c r="L5" s="1302">
        <f>_xlfn.IFERROR(MATCH(K5,OFFER_METHOD,0),0)</f>
        <v>0</v>
      </c>
      <c r="M5" s="1301">
        <v>4</v>
      </c>
      <c r="N5" s="1315" t="s">
        <v>1337</v>
      </c>
      <c r="O5" s="1299" t="s">
        <v>1338</v>
      </c>
      <c r="Q5" s="1304" t="s">
        <v>1339</v>
      </c>
      <c r="R5" s="366" t="s">
        <v>1340</v>
      </c>
      <c r="T5" s="1300" t="s">
        <v>1341</v>
      </c>
      <c r="U5" s="1302" t="s">
        <v>1342</v>
      </c>
      <c r="V5" s="1306">
        <v>4</v>
      </c>
      <c r="W5" s="1307"/>
      <c r="X5" s="1307" t="s">
        <v>216</v>
      </c>
      <c r="Y5" s="1298" t="s">
        <v>1343</v>
      </c>
      <c r="Z5" s="1314">
        <v>1</v>
      </c>
      <c r="AF5" s="1300" t="s">
        <v>1344</v>
      </c>
      <c r="AH5" s="1299" t="s">
        <v>1345</v>
      </c>
      <c r="AK5" s="1299" t="s">
        <v>1346</v>
      </c>
      <c r="AM5" s="1299" t="s">
        <v>1347</v>
      </c>
      <c r="AP5" s="1310" t="s">
        <v>216</v>
      </c>
      <c r="AQ5" s="1311" t="s">
        <v>216</v>
      </c>
      <c r="AU5" s="1344" t="s">
        <v>1348</v>
      </c>
      <c r="AW5" s="1344" t="s">
        <v>1349</v>
      </c>
      <c r="AX5" s="1344" t="s">
        <v>1349</v>
      </c>
      <c r="AZ5" s="1344" t="s">
        <v>1350</v>
      </c>
      <c r="BB5" s="1344" t="s">
        <v>1351</v>
      </c>
      <c r="BC5" s="1344" t="s">
        <v>1352</v>
      </c>
      <c r="BE5" s="1344">
        <v>2003</v>
      </c>
      <c r="BF5" s="1344" t="s">
        <v>1353</v>
      </c>
      <c r="BH5" s="1291" t="s">
        <v>1354</v>
      </c>
      <c r="BJ5" s="1291" t="s">
        <v>1354</v>
      </c>
      <c r="BL5" s="1291" t="s">
        <v>1354</v>
      </c>
      <c r="BN5" s="1291" t="s">
        <v>1355</v>
      </c>
      <c r="BQ5" s="1508">
        <v>4213775</v>
      </c>
      <c r="BR5" s="1291" t="s">
        <v>1250</v>
      </c>
      <c r="BS5" s="1656"/>
      <c r="BT5" s="1508">
        <v>64236871</v>
      </c>
      <c r="BU5" s="1291" t="s">
        <v>277</v>
      </c>
      <c r="BV5" s="1293"/>
      <c r="BW5" s="1922">
        <v>4213767</v>
      </c>
      <c r="BX5" s="1920" t="s">
        <v>1356</v>
      </c>
      <c r="BZ5" s="1508">
        <v>64237509</v>
      </c>
      <c r="CA5" s="1522" t="s">
        <v>1357</v>
      </c>
    </row>
    <row customHeight="1" ht="11.25">
      <c r="A6" s="1297" t="s">
        <v>1358</v>
      </c>
      <c r="B6" s="1298">
        <v>2004</v>
      </c>
      <c r="C6" s="1298">
        <v>2026</v>
      </c>
      <c r="E6" s="1299" t="s">
        <v>1359</v>
      </c>
      <c r="F6" s="1316"/>
      <c r="H6" s="1300" t="s">
        <v>1360</v>
      </c>
      <c r="I6" s="1299" t="s">
        <v>113</v>
      </c>
      <c r="J6" s="1290" t="s">
        <v>1361</v>
      </c>
      <c r="L6" s="1302">
        <f>SUM(kind_of_control_method_filter)</f>
        <v>40</v>
      </c>
      <c r="N6" s="1315" t="s">
        <v>1362</v>
      </c>
      <c r="O6" s="1299" t="s">
        <v>1363</v>
      </c>
      <c r="R6" s="366" t="s">
        <v>647</v>
      </c>
      <c r="T6" s="1300" t="s">
        <v>1364</v>
      </c>
      <c r="U6" s="1302" t="s">
        <v>1344</v>
      </c>
      <c r="V6" s="1306">
        <v>5</v>
      </c>
      <c r="W6" s="1307"/>
      <c r="X6" s="1298" t="s">
        <v>222</v>
      </c>
      <c r="Y6" s="1298" t="s">
        <v>1365</v>
      </c>
      <c r="Z6" s="1314"/>
      <c r="AA6" s="1317"/>
      <c r="AH6" s="1299" t="s">
        <v>1366</v>
      </c>
      <c r="AK6" s="1299" t="s">
        <v>1367</v>
      </c>
      <c r="AM6" s="1299" t="s">
        <v>1368</v>
      </c>
      <c r="AP6" s="1310" t="s">
        <v>222</v>
      </c>
      <c r="AQ6" s="1311" t="s">
        <v>222</v>
      </c>
      <c r="AU6" s="1344" t="s">
        <v>1369</v>
      </c>
      <c r="AW6" s="1344" t="s">
        <v>1370</v>
      </c>
      <c r="AX6" s="1344" t="s">
        <v>1370</v>
      </c>
      <c r="BB6" s="1344" t="s">
        <v>1371</v>
      </c>
      <c r="BC6" s="1344" t="s">
        <v>1352</v>
      </c>
      <c r="BE6" s="1344">
        <v>2004</v>
      </c>
      <c r="BF6" s="1344" t="s">
        <v>1372</v>
      </c>
      <c r="BH6" s="1291" t="s">
        <v>1373</v>
      </c>
      <c r="BJ6" s="1291" t="s">
        <v>1374</v>
      </c>
      <c r="BL6" s="1291" t="s">
        <v>1374</v>
      </c>
      <c r="BN6" s="1291" t="s">
        <v>1375</v>
      </c>
      <c r="BQ6" s="1508">
        <v>4213784</v>
      </c>
      <c r="BR6" s="1522" t="s">
        <v>1283</v>
      </c>
      <c r="BS6" s="1657"/>
      <c r="BT6" s="1508">
        <v>64236872</v>
      </c>
      <c r="BU6" s="1291" t="s">
        <v>282</v>
      </c>
      <c r="BV6" s="1293"/>
      <c r="BW6" s="1922">
        <v>4213768</v>
      </c>
      <c r="BX6" s="1920" t="s">
        <v>360</v>
      </c>
      <c r="BZ6" s="1508">
        <v>64237510</v>
      </c>
      <c r="CA6" s="1291" t="s">
        <v>1376</v>
      </c>
    </row>
    <row customHeight="1" ht="11.25">
      <c r="A7" s="1297" t="s">
        <v>1377</v>
      </c>
      <c r="B7" s="1298">
        <v>2005</v>
      </c>
      <c r="E7" s="1299" t="s">
        <v>1378</v>
      </c>
      <c r="F7" s="1316"/>
      <c r="H7" s="1300" t="s">
        <v>1379</v>
      </c>
      <c r="I7" s="1299" t="s">
        <v>88</v>
      </c>
      <c r="J7" s="1299" t="s">
        <v>1380</v>
      </c>
      <c r="N7" s="1319" t="s">
        <v>1381</v>
      </c>
      <c r="O7" s="1299" t="s">
        <v>1382</v>
      </c>
      <c r="U7" s="1302" t="s">
        <v>53</v>
      </c>
      <c r="V7" s="592" t="s">
        <v>88</v>
      </c>
      <c r="W7" s="1307"/>
      <c r="X7" s="1298" t="s">
        <v>228</v>
      </c>
      <c r="Y7" s="1298" t="s">
        <v>1343</v>
      </c>
      <c r="Z7" s="1314"/>
      <c r="AA7" s="1317"/>
      <c r="AH7" s="1299" t="s">
        <v>1383</v>
      </c>
      <c r="AK7" s="1299" t="s">
        <v>1384</v>
      </c>
      <c r="AM7" s="1299" t="s">
        <v>1385</v>
      </c>
      <c r="AP7" s="1310" t="s">
        <v>228</v>
      </c>
      <c r="AQ7" s="1311" t="s">
        <v>228</v>
      </c>
      <c r="AU7" s="1344" t="s">
        <v>1386</v>
      </c>
      <c r="AW7" s="1344" t="s">
        <v>1387</v>
      </c>
      <c r="AX7" s="1344" t="s">
        <v>1387</v>
      </c>
      <c r="AZ7" s="1290" t="s">
        <v>1388</v>
      </c>
      <c r="BB7" s="1344" t="s">
        <v>1389</v>
      </c>
      <c r="BC7" s="1344" t="s">
        <v>1352</v>
      </c>
      <c r="BE7" s="1344">
        <v>2005</v>
      </c>
      <c r="BF7" s="1344" t="s">
        <v>1390</v>
      </c>
      <c r="BH7" s="1291" t="s">
        <v>1391</v>
      </c>
      <c r="BJ7" s="1291" t="s">
        <v>1373</v>
      </c>
      <c r="BL7" s="1291" t="s">
        <v>1373</v>
      </c>
      <c r="BN7" s="1291" t="s">
        <v>1392</v>
      </c>
      <c r="BQ7" s="1508">
        <v>4213781</v>
      </c>
      <c r="BR7" s="1291" t="s">
        <v>1276</v>
      </c>
      <c r="BS7" s="1656"/>
      <c r="BT7" s="1508">
        <v>64236873</v>
      </c>
      <c r="BU7" s="1291" t="s">
        <v>287</v>
      </c>
      <c r="BV7" s="1293"/>
      <c r="BW7" s="1922">
        <v>4213769</v>
      </c>
      <c r="BX7" s="1920" t="s">
        <v>1393</v>
      </c>
      <c r="BZ7" s="1508">
        <v>64237511</v>
      </c>
      <c r="CA7" s="1291" t="s">
        <v>375</v>
      </c>
    </row>
    <row customHeight="1" ht="11.25">
      <c r="A8" s="1297" t="s">
        <v>1394</v>
      </c>
      <c r="B8" s="1298">
        <v>2006</v>
      </c>
      <c r="E8" s="1299" t="s">
        <v>1395</v>
      </c>
      <c r="F8" s="1316"/>
      <c r="H8" s="1300" t="s">
        <v>1396</v>
      </c>
      <c r="I8" s="1299" t="s">
        <v>89</v>
      </c>
      <c r="J8" s="1299" t="s">
        <v>1397</v>
      </c>
      <c r="N8" s="1387" t="s">
        <v>1398</v>
      </c>
      <c r="O8" s="1299" t="s">
        <v>1399</v>
      </c>
      <c r="V8" s="592" t="s">
        <v>89</v>
      </c>
      <c r="W8" s="1307"/>
      <c r="X8" s="1298" t="s">
        <v>234</v>
      </c>
      <c r="Y8" s="1298" t="s">
        <v>1343</v>
      </c>
      <c r="Z8" s="1314"/>
      <c r="AA8" s="1317"/>
      <c r="AK8" s="1299" t="s">
        <v>1400</v>
      </c>
      <c r="AP8" s="1310" t="s">
        <v>234</v>
      </c>
      <c r="AQ8" s="1311" t="s">
        <v>234</v>
      </c>
      <c r="AU8" s="1344" t="s">
        <v>1401</v>
      </c>
      <c r="AW8" s="1344" t="s">
        <v>1402</v>
      </c>
      <c r="AX8" s="1344" t="s">
        <v>1402</v>
      </c>
      <c r="AZ8" s="1344" t="s">
        <v>1403</v>
      </c>
      <c r="BB8" s="1344" t="s">
        <v>1404</v>
      </c>
      <c r="BC8" s="1344" t="s">
        <v>1352</v>
      </c>
      <c r="BE8" s="1344">
        <v>2006</v>
      </c>
      <c r="BF8" s="1344" t="s">
        <v>1405</v>
      </c>
      <c r="BH8" s="1291" t="s">
        <v>1406</v>
      </c>
      <c r="BJ8" s="1291" t="s">
        <v>1407</v>
      </c>
      <c r="BL8" s="1291" t="s">
        <v>1407</v>
      </c>
      <c r="BN8" s="1291" t="s">
        <v>1408</v>
      </c>
      <c r="BQ8" s="1508">
        <v>4213776</v>
      </c>
      <c r="BR8" s="1291" t="s">
        <v>216</v>
      </c>
      <c r="BS8" s="1656"/>
      <c r="BT8" s="1508">
        <v>64236874</v>
      </c>
      <c r="BU8" s="1522" t="s">
        <v>1409</v>
      </c>
      <c r="BV8" s="1293"/>
      <c r="BW8" s="1922">
        <v>4213770</v>
      </c>
      <c r="BX8" s="1923" t="s">
        <v>1410</v>
      </c>
      <c r="BZ8" s="1508">
        <v>64237512</v>
      </c>
      <c r="CA8" s="1291" t="s">
        <v>370</v>
      </c>
    </row>
    <row customHeight="1" ht="11.25">
      <c r="A9" s="1297" t="s">
        <v>1411</v>
      </c>
      <c r="B9" s="1298">
        <v>2007</v>
      </c>
      <c r="E9" s="1299" t="s">
        <v>1412</v>
      </c>
      <c r="F9" s="1316"/>
      <c r="G9" s="1290" t="s">
        <v>1413</v>
      </c>
      <c r="H9" s="1290" t="s">
        <v>1414</v>
      </c>
      <c r="I9" s="1299" t="s">
        <v>126</v>
      </c>
      <c r="O9" s="1299" t="s">
        <v>1415</v>
      </c>
      <c r="V9" s="592" t="s">
        <v>126</v>
      </c>
      <c r="W9" s="1307"/>
      <c r="X9" s="1298" t="s">
        <v>240</v>
      </c>
      <c r="Y9" s="1298" t="s">
        <v>1251</v>
      </c>
      <c r="Z9" s="1314">
        <v>1</v>
      </c>
      <c r="AA9" s="1317"/>
      <c r="AK9" s="1299" t="s">
        <v>1416</v>
      </c>
      <c r="AP9" s="1310" t="s">
        <v>1417</v>
      </c>
      <c r="AQ9" s="1311" t="s">
        <v>1417</v>
      </c>
      <c r="AW9" s="1344" t="s">
        <v>1418</v>
      </c>
      <c r="AX9" s="1344" t="s">
        <v>1418</v>
      </c>
      <c r="AZ9" s="1344" t="s">
        <v>1419</v>
      </c>
      <c r="BB9" s="1344" t="s">
        <v>1420</v>
      </c>
      <c r="BC9" s="1344" t="s">
        <v>1352</v>
      </c>
      <c r="BE9" s="1344">
        <v>2007</v>
      </c>
      <c r="BF9" s="1344" t="s">
        <v>1421</v>
      </c>
      <c r="BH9" s="1291" t="s">
        <v>1422</v>
      </c>
      <c r="BJ9" s="1291" t="s">
        <v>1423</v>
      </c>
      <c r="BL9" s="1291" t="s">
        <v>1423</v>
      </c>
      <c r="BN9" s="1291" t="s">
        <v>1424</v>
      </c>
      <c r="BQ9" s="1508">
        <v>4213777</v>
      </c>
      <c r="BR9" s="1291" t="s">
        <v>222</v>
      </c>
      <c r="BS9" s="1656"/>
      <c r="BT9" s="1508">
        <v>64236875</v>
      </c>
      <c r="BU9" s="1291" t="s">
        <v>292</v>
      </c>
      <c r="BV9" s="1293"/>
      <c r="BW9" s="1917"/>
      <c r="BX9" s="1917"/>
    </row>
    <row customHeight="1" ht="11.25">
      <c r="A10" s="1297" t="s">
        <v>1425</v>
      </c>
      <c r="B10" s="1298">
        <v>2008</v>
      </c>
      <c r="E10" s="1299" t="s">
        <v>1426</v>
      </c>
      <c r="F10" s="1316"/>
      <c r="G10" s="1299" t="s">
        <v>1427</v>
      </c>
      <c r="H10" s="1299" t="s">
        <v>1428</v>
      </c>
      <c r="I10" s="1299" t="s">
        <v>131</v>
      </c>
      <c r="J10" s="1290" t="s">
        <v>1429</v>
      </c>
      <c r="K10" s="1290" t="s">
        <v>1430</v>
      </c>
      <c r="O10" s="1299" t="s">
        <v>1431</v>
      </c>
      <c r="V10" s="593" t="s">
        <v>131</v>
      </c>
      <c r="W10" s="1320"/>
      <c r="X10" s="1320" t="s">
        <v>252</v>
      </c>
      <c r="Y10" s="1321" t="s">
        <v>1432</v>
      </c>
      <c r="Z10" s="1314"/>
      <c r="AP10" s="1310" t="s">
        <v>252</v>
      </c>
      <c r="AQ10" s="1311" t="s">
        <v>252</v>
      </c>
      <c r="AW10" s="1344" t="s">
        <v>1433</v>
      </c>
      <c r="AX10" s="1344" t="s">
        <v>1433</v>
      </c>
      <c r="AZ10" s="1344" t="s">
        <v>1434</v>
      </c>
      <c r="BB10" s="1344" t="s">
        <v>1435</v>
      </c>
      <c r="BC10" s="1344" t="s">
        <v>1352</v>
      </c>
      <c r="BE10" s="1344">
        <v>2008</v>
      </c>
      <c r="BF10" s="1344" t="s">
        <v>1436</v>
      </c>
      <c r="BH10" s="1291" t="s">
        <v>1437</v>
      </c>
      <c r="BJ10" s="1291" t="s">
        <v>1438</v>
      </c>
      <c r="BL10" s="1291" t="s">
        <v>1438</v>
      </c>
      <c r="BN10" s="1291" t="s">
        <v>1439</v>
      </c>
      <c r="BQ10" s="1508">
        <v>4213778</v>
      </c>
      <c r="BR10" s="1291" t="s">
        <v>228</v>
      </c>
      <c r="BS10" s="1656"/>
      <c r="BT10" s="1508">
        <v>64236876</v>
      </c>
      <c r="BU10" s="1291" t="s">
        <v>272</v>
      </c>
      <c r="BV10" s="1293"/>
      <c r="BW10" s="1917"/>
      <c r="BX10" s="1917"/>
    </row>
    <row customHeight="1" ht="11.25">
      <c r="A11" s="1297" t="s">
        <v>1440</v>
      </c>
      <c r="B11" s="1298">
        <v>2009</v>
      </c>
      <c r="E11" s="1299" t="s">
        <v>1441</v>
      </c>
      <c r="F11" s="1316"/>
      <c r="G11" s="1299" t="s">
        <v>1442</v>
      </c>
      <c r="H11" s="1299" t="s">
        <v>1443</v>
      </c>
      <c r="I11" s="1299" t="s">
        <v>136</v>
      </c>
      <c r="J11" s="1300" t="s">
        <v>1444</v>
      </c>
      <c r="K11" s="1322" t="s">
        <v>1445</v>
      </c>
      <c r="O11" s="1300" t="s">
        <v>1446</v>
      </c>
      <c r="V11" s="592" t="s">
        <v>136</v>
      </c>
      <c r="W11" s="497"/>
      <c r="X11" s="1307" t="s">
        <v>1417</v>
      </c>
      <c r="Y11" s="1298" t="s">
        <v>1447</v>
      </c>
      <c r="Z11" s="1314"/>
      <c r="AP11" s="1310" t="s">
        <v>240</v>
      </c>
      <c r="AQ11" s="1312" t="s">
        <v>240</v>
      </c>
      <c r="AW11" s="1344" t="s">
        <v>1448</v>
      </c>
      <c r="AX11" s="1344" t="s">
        <v>1448</v>
      </c>
      <c r="AZ11" s="1344" t="s">
        <v>1449</v>
      </c>
      <c r="BB11" s="1344" t="s">
        <v>1450</v>
      </c>
      <c r="BC11" s="1344" t="s">
        <v>1352</v>
      </c>
      <c r="BE11" s="1344">
        <v>2009</v>
      </c>
      <c r="BF11" s="1344" t="s">
        <v>1451</v>
      </c>
      <c r="BH11" s="1291" t="s">
        <v>1452</v>
      </c>
      <c r="BJ11" s="1291" t="s">
        <v>1422</v>
      </c>
      <c r="BL11" s="1291" t="s">
        <v>1422</v>
      </c>
      <c r="BN11" s="1291" t="s">
        <v>1453</v>
      </c>
      <c r="BQ11" s="1508">
        <v>4213780</v>
      </c>
      <c r="BR11" s="1291" t="s">
        <v>234</v>
      </c>
      <c r="BS11" s="1656"/>
      <c r="BW11" s="1917"/>
      <c r="BX11" s="1917"/>
    </row>
    <row customHeight="1" ht="11.25">
      <c r="A12" s="1297" t="s">
        <v>1454</v>
      </c>
      <c r="B12" s="1298">
        <v>2010</v>
      </c>
      <c r="E12" s="1299" t="s">
        <v>1455</v>
      </c>
      <c r="F12" s="1316"/>
      <c r="G12" s="1299" t="s">
        <v>1443</v>
      </c>
      <c r="I12" s="1299" t="s">
        <v>141</v>
      </c>
      <c r="J12" s="1300" t="s">
        <v>1456</v>
      </c>
      <c r="K12" s="1322" t="s">
        <v>1457</v>
      </c>
      <c r="O12" s="1300" t="s">
        <v>647</v>
      </c>
      <c r="V12" s="592" t="s">
        <v>141</v>
      </c>
      <c r="W12" s="1312"/>
      <c r="X12" s="1307" t="s">
        <v>1458</v>
      </c>
      <c r="Y12" s="1298" t="s">
        <v>1251</v>
      </c>
      <c r="AP12" s="1310"/>
      <c r="AW12" s="1344" t="s">
        <v>136</v>
      </c>
      <c r="AX12" s="1344" t="s">
        <v>136</v>
      </c>
      <c r="AZ12" s="1344" t="s">
        <v>1459</v>
      </c>
      <c r="BB12" s="1344" t="s">
        <v>1460</v>
      </c>
      <c r="BC12" s="1344" t="s">
        <v>1352</v>
      </c>
      <c r="BE12" s="1344">
        <v>2010</v>
      </c>
      <c r="BF12" s="1344" t="s">
        <v>1461</v>
      </c>
      <c r="BH12" s="1291" t="s">
        <v>1462</v>
      </c>
      <c r="BJ12" s="1291" t="s">
        <v>1463</v>
      </c>
      <c r="BL12" s="1291" t="s">
        <v>1463</v>
      </c>
      <c r="BN12" s="1291" t="s">
        <v>1464</v>
      </c>
      <c r="BQ12" s="1508">
        <v>4213779</v>
      </c>
      <c r="BR12" s="1291" t="s">
        <v>1417</v>
      </c>
      <c r="BS12" s="1656"/>
      <c r="BT12" s="1293"/>
      <c r="BU12" s="1293"/>
      <c r="BV12" s="1293"/>
      <c r="BW12" s="1917"/>
      <c r="BX12" s="1917"/>
    </row>
    <row customHeight="1" ht="11.25">
      <c r="A13" s="1297" t="s">
        <v>1465</v>
      </c>
      <c r="B13" s="1298">
        <v>2011</v>
      </c>
      <c r="E13" s="1299" t="s">
        <v>1466</v>
      </c>
      <c r="F13" s="1316"/>
      <c r="I13" s="1299" t="s">
        <v>147</v>
      </c>
      <c r="K13" s="1322" t="s">
        <v>1416</v>
      </c>
      <c r="V13" s="592" t="s">
        <v>147</v>
      </c>
      <c r="W13" s="1312"/>
      <c r="X13" s="1312"/>
      <c r="Y13" s="1312"/>
      <c r="AW13" s="1344" t="s">
        <v>141</v>
      </c>
      <c r="AX13" s="1344" t="s">
        <v>141</v>
      </c>
      <c r="BB13" s="1344" t="s">
        <v>1467</v>
      </c>
      <c r="BC13" s="1344" t="s">
        <v>1468</v>
      </c>
      <c r="BE13" s="1344">
        <v>2011</v>
      </c>
      <c r="BF13" s="1344" t="s">
        <v>1469</v>
      </c>
      <c r="BH13" s="1291" t="s">
        <v>1470</v>
      </c>
      <c r="BJ13" s="1291" t="s">
        <v>1452</v>
      </c>
      <c r="BL13" s="1291" t="s">
        <v>1452</v>
      </c>
      <c r="BN13" s="1291" t="s">
        <v>1471</v>
      </c>
      <c r="BQ13" s="1508">
        <v>4213783</v>
      </c>
      <c r="BR13" s="1291" t="s">
        <v>252</v>
      </c>
      <c r="BS13" s="1656"/>
      <c r="BT13" s="1293"/>
      <c r="BU13" s="1293"/>
      <c r="BV13" s="1293"/>
      <c r="BW13" s="1921"/>
      <c r="BX13" s="1917"/>
    </row>
    <row customHeight="1" ht="11.25">
      <c r="A14" s="1297" t="s">
        <v>1472</v>
      </c>
      <c r="B14" s="1298">
        <v>2012</v>
      </c>
      <c r="I14" s="1299" t="s">
        <v>151</v>
      </c>
      <c r="J14" s="1290" t="s">
        <v>1473</v>
      </c>
      <c r="N14" s="1290" t="s">
        <v>1474</v>
      </c>
      <c r="V14" s="1306">
        <v>13</v>
      </c>
      <c r="W14" s="1307"/>
      <c r="X14" s="1307" t="s">
        <v>1283</v>
      </c>
      <c r="Y14" s="1298" t="s">
        <v>1251</v>
      </c>
      <c r="AW14" s="1344" t="s">
        <v>147</v>
      </c>
      <c r="AX14" s="1344" t="s">
        <v>147</v>
      </c>
      <c r="AZ14" s="1290" t="s">
        <v>1475</v>
      </c>
      <c r="BB14" s="1344" t="s">
        <v>1476</v>
      </c>
      <c r="BC14" s="1344" t="s">
        <v>1468</v>
      </c>
      <c r="BE14" s="1344">
        <v>2012</v>
      </c>
      <c r="BH14" s="1291" t="s">
        <v>1392</v>
      </c>
      <c r="BJ14" s="1443" t="s">
        <v>1477</v>
      </c>
      <c r="BL14" s="1443" t="s">
        <v>1477</v>
      </c>
      <c r="BN14" s="1291" t="s">
        <v>1478</v>
      </c>
      <c r="BQ14" s="1508">
        <v>4213782</v>
      </c>
      <c r="BR14" s="1291" t="s">
        <v>240</v>
      </c>
      <c r="BS14" s="1656"/>
      <c r="BT14" s="1293"/>
      <c r="BU14" s="1293"/>
      <c r="BV14" s="1293"/>
      <c r="BW14" s="1921"/>
      <c r="BX14" s="1917"/>
    </row>
    <row customHeight="1" ht="19.5">
      <c r="A15" s="1297" t="s">
        <v>1479</v>
      </c>
      <c r="B15" s="1298">
        <v>2013</v>
      </c>
      <c r="E15" s="1925" t="s">
        <v>1480</v>
      </c>
      <c r="G15" s="1290" t="s">
        <v>1481</v>
      </c>
      <c r="H15" s="1290" t="s">
        <v>1482</v>
      </c>
      <c r="I15" s="1301" t="s">
        <v>156</v>
      </c>
      <c r="J15" s="1312" t="s">
        <v>689</v>
      </c>
      <c r="N15" s="1382" t="s">
        <v>1483</v>
      </c>
      <c r="X15" s="1310"/>
      <c r="AW15" s="1344" t="s">
        <v>151</v>
      </c>
      <c r="AX15" s="1344" t="s">
        <v>151</v>
      </c>
      <c r="AZ15" s="1344" t="s">
        <v>1403</v>
      </c>
      <c r="BB15" s="1344" t="s">
        <v>1484</v>
      </c>
      <c r="BC15" s="1344" t="s">
        <v>1468</v>
      </c>
      <c r="BE15" s="1344">
        <v>2013</v>
      </c>
      <c r="BH15" s="1291" t="s">
        <v>1408</v>
      </c>
      <c r="BJ15" s="1443" t="s">
        <v>1485</v>
      </c>
      <c r="BL15" s="1443" t="s">
        <v>1485</v>
      </c>
      <c r="BN15" s="1291" t="s">
        <v>1486</v>
      </c>
      <c r="BR15" s="1293"/>
      <c r="BS15" s="1658"/>
      <c r="BT15" s="1293"/>
      <c r="BU15" s="1293"/>
      <c r="BV15" s="1293"/>
      <c r="BW15" s="1921"/>
      <c r="BX15" s="1917"/>
    </row>
    <row customHeight="1" ht="21">
      <c r="A16" s="2098" t="s">
        <v>1487</v>
      </c>
      <c r="B16" s="1298">
        <v>2014</v>
      </c>
      <c r="E16" s="1926" t="s">
        <v>1488</v>
      </c>
      <c r="G16" s="1299" t="s">
        <v>1489</v>
      </c>
      <c r="H16" s="1299" t="s">
        <v>1490</v>
      </c>
      <c r="I16" s="1301" t="s">
        <v>1491</v>
      </c>
      <c r="J16" s="1312" t="s">
        <v>662</v>
      </c>
      <c r="N16" s="1382" t="s">
        <v>1492</v>
      </c>
      <c r="AW16" s="1344" t="s">
        <v>156</v>
      </c>
      <c r="AX16" s="1344" t="s">
        <v>156</v>
      </c>
      <c r="AZ16" s="1344" t="s">
        <v>1419</v>
      </c>
      <c r="BB16" s="1344" t="s">
        <v>1493</v>
      </c>
      <c r="BC16" s="1344" t="s">
        <v>1468</v>
      </c>
      <c r="BE16" s="1344">
        <v>2014</v>
      </c>
      <c r="BH16" s="1291" t="s">
        <v>1424</v>
      </c>
      <c r="BJ16" s="1443" t="s">
        <v>1494</v>
      </c>
      <c r="BL16" s="1443" t="s">
        <v>1494</v>
      </c>
      <c r="BN16" s="1291" t="s">
        <v>1495</v>
      </c>
      <c r="BR16" s="1293"/>
      <c r="BS16" s="1658"/>
      <c r="BT16" s="1293"/>
      <c r="BU16" s="1293"/>
      <c r="BV16" s="1293"/>
      <c r="BW16" s="1921"/>
      <c r="BX16" s="1917"/>
    </row>
    <row customHeight="1" ht="21">
      <c r="A17" s="1297" t="s">
        <v>1496</v>
      </c>
      <c r="B17" s="1298">
        <v>2015</v>
      </c>
      <c r="G17" s="1299" t="s">
        <v>1443</v>
      </c>
      <c r="H17" s="1299" t="s">
        <v>1443</v>
      </c>
      <c r="I17" s="1299" t="s">
        <v>1497</v>
      </c>
      <c r="N17" s="1382" t="s">
        <v>1498</v>
      </c>
      <c r="X17" s="1310"/>
      <c r="AW17" s="1344" t="s">
        <v>1491</v>
      </c>
      <c r="AX17" s="1344" t="s">
        <v>1491</v>
      </c>
      <c r="AZ17" s="1344" t="s">
        <v>1499</v>
      </c>
      <c r="BB17" s="1344" t="s">
        <v>1500</v>
      </c>
      <c r="BC17" s="1344" t="s">
        <v>1352</v>
      </c>
      <c r="BE17" s="1344">
        <v>2015</v>
      </c>
      <c r="BH17" s="1291" t="s">
        <v>1439</v>
      </c>
      <c r="BJ17" s="1443" t="s">
        <v>1501</v>
      </c>
      <c r="BL17" s="1443" t="s">
        <v>1501</v>
      </c>
      <c r="BN17" s="1291" t="s">
        <v>1502</v>
      </c>
      <c r="BR17" s="1290" t="s">
        <v>1294</v>
      </c>
      <c r="BS17" s="1655"/>
      <c r="BU17" s="1290" t="s">
        <v>1503</v>
      </c>
      <c r="BV17" s="1293"/>
      <c r="BW17" s="1917"/>
      <c r="BX17" s="1919" t="s">
        <v>1504</v>
      </c>
      <c r="CA17" s="1290" t="s">
        <v>1505</v>
      </c>
      <c r="CD17" s="1290" t="s">
        <v>1506</v>
      </c>
    </row>
    <row customHeight="1" ht="21">
      <c r="A18" s="1297" t="s">
        <v>1507</v>
      </c>
      <c r="B18" s="1298">
        <v>2016</v>
      </c>
      <c r="I18" s="1299" t="s">
        <v>1508</v>
      </c>
      <c r="N18" s="1382" t="s">
        <v>1509</v>
      </c>
      <c r="X18" s="1310"/>
      <c r="AW18" s="1344" t="s">
        <v>1497</v>
      </c>
      <c r="AX18" s="1344" t="s">
        <v>1497</v>
      </c>
      <c r="BB18" s="1344" t="s">
        <v>1510</v>
      </c>
      <c r="BC18" s="1344" t="s">
        <v>1352</v>
      </c>
      <c r="BE18" s="1344">
        <v>2016</v>
      </c>
      <c r="BH18" s="1291" t="s">
        <v>1453</v>
      </c>
      <c r="BJ18" s="1443" t="s">
        <v>1511</v>
      </c>
      <c r="BL18" s="1443" t="s">
        <v>1511</v>
      </c>
      <c r="BN18" s="1291" t="s">
        <v>1512</v>
      </c>
      <c r="BQ18" s="1659" t="s">
        <v>1324</v>
      </c>
      <c r="BR18" s="1383" t="s">
        <v>1325</v>
      </c>
      <c r="BS18" s="496"/>
      <c r="BT18" s="1659" t="s">
        <v>1513</v>
      </c>
      <c r="BU18" s="1383" t="s">
        <v>1514</v>
      </c>
      <c r="BV18" s="1293"/>
      <c r="BW18" s="1924" t="s">
        <v>1515</v>
      </c>
      <c r="BX18" s="1918" t="s">
        <v>1516</v>
      </c>
      <c r="BZ18" s="1659" t="s">
        <v>1517</v>
      </c>
      <c r="CA18" s="1383" t="s">
        <v>1518</v>
      </c>
      <c r="CC18" s="1659" t="s">
        <v>1519</v>
      </c>
      <c r="CD18" s="1383" t="s">
        <v>1520</v>
      </c>
    </row>
    <row customHeight="1" ht="21">
      <c r="A19" s="2098" t="s">
        <v>1521</v>
      </c>
      <c r="B19" s="1298">
        <v>2017</v>
      </c>
      <c r="I19" s="1299" t="s">
        <v>1522</v>
      </c>
      <c r="N19" s="1382" t="s">
        <v>1523</v>
      </c>
      <c r="X19" s="1310"/>
      <c r="AW19" s="1344" t="s">
        <v>1508</v>
      </c>
      <c r="AX19" s="1344" t="s">
        <v>1508</v>
      </c>
      <c r="AZ19" s="1290" t="s">
        <v>1524</v>
      </c>
      <c r="BB19" s="1344" t="s">
        <v>1525</v>
      </c>
      <c r="BC19" s="1344" t="s">
        <v>1352</v>
      </c>
      <c r="BE19" s="1344">
        <v>2017</v>
      </c>
      <c r="BH19" s="1291" t="s">
        <v>1526</v>
      </c>
      <c r="BJ19" s="1443" t="s">
        <v>1527</v>
      </c>
      <c r="BL19" s="1443" t="s">
        <v>1527</v>
      </c>
      <c r="BQ19" s="1508">
        <v>4190064</v>
      </c>
      <c r="BR19" s="1291" t="s">
        <v>1528</v>
      </c>
      <c r="BS19" s="1656"/>
      <c r="BT19" s="1508">
        <v>4189671</v>
      </c>
      <c r="BU19" s="1291" t="s">
        <v>1529</v>
      </c>
      <c r="BV19" s="1293"/>
      <c r="BW19" s="1922">
        <v>4189706</v>
      </c>
      <c r="BX19" s="1920" t="s">
        <v>1530</v>
      </c>
      <c r="BZ19" s="1508">
        <v>4189714</v>
      </c>
      <c r="CA19" s="1291" t="s">
        <v>1531</v>
      </c>
      <c r="CC19" s="1508">
        <v>4189708</v>
      </c>
      <c r="CD19" s="1291" t="s">
        <v>1532</v>
      </c>
    </row>
    <row customHeight="1" ht="21">
      <c r="A20" s="1297" t="s">
        <v>1533</v>
      </c>
      <c r="B20" s="1298">
        <v>2018</v>
      </c>
      <c r="I20" s="1299" t="s">
        <v>1534</v>
      </c>
      <c r="N20" s="1382" t="s">
        <v>1535</v>
      </c>
      <c r="AW20" s="1344" t="s">
        <v>1522</v>
      </c>
      <c r="AX20" s="1344" t="s">
        <v>1522</v>
      </c>
      <c r="AZ20" s="1344" t="s">
        <v>1536</v>
      </c>
      <c r="BB20" s="1344" t="s">
        <v>1537</v>
      </c>
      <c r="BC20" s="1344" t="s">
        <v>1468</v>
      </c>
      <c r="BE20" s="1344">
        <v>2018</v>
      </c>
      <c r="BH20" s="1291" t="s">
        <v>1464</v>
      </c>
      <c r="BJ20" s="1291" t="s">
        <v>1392</v>
      </c>
      <c r="BL20" s="1291" t="s">
        <v>1392</v>
      </c>
      <c r="BQ20" s="1508">
        <v>4190065</v>
      </c>
      <c r="BR20" s="1291" t="s">
        <v>1538</v>
      </c>
      <c r="BS20" s="1656"/>
      <c r="BT20" s="1508">
        <v>4189672</v>
      </c>
      <c r="BU20" s="1291" t="s">
        <v>1539</v>
      </c>
      <c r="BV20" s="1293"/>
      <c r="BW20" s="1922">
        <v>4189705</v>
      </c>
      <c r="BX20" s="1920" t="s">
        <v>1540</v>
      </c>
      <c r="BZ20" s="1508">
        <v>4189713</v>
      </c>
      <c r="CA20" s="1291" t="s">
        <v>1540</v>
      </c>
      <c r="CC20" s="1508">
        <v>4189709</v>
      </c>
      <c r="CD20" s="1291" t="s">
        <v>1541</v>
      </c>
    </row>
    <row customHeight="1" ht="21">
      <c r="A21" s="1297" t="s">
        <v>1542</v>
      </c>
      <c r="B21" s="1298">
        <v>2019</v>
      </c>
      <c r="I21" s="1299" t="s">
        <v>115</v>
      </c>
      <c r="N21" s="1382" t="s">
        <v>1543</v>
      </c>
      <c r="AW21" s="1344" t="s">
        <v>1534</v>
      </c>
      <c r="AX21" s="1344" t="s">
        <v>1534</v>
      </c>
      <c r="AZ21" s="1344" t="s">
        <v>1544</v>
      </c>
      <c r="BB21" s="1344" t="s">
        <v>1545</v>
      </c>
      <c r="BC21" s="1344" t="s">
        <v>1352</v>
      </c>
      <c r="BE21" s="1344">
        <v>2019</v>
      </c>
      <c r="BH21" s="1291" t="s">
        <v>1471</v>
      </c>
      <c r="BJ21" s="1291" t="s">
        <v>1408</v>
      </c>
      <c r="BL21" s="1291" t="s">
        <v>1408</v>
      </c>
      <c r="BQ21" s="1508">
        <v>4190066</v>
      </c>
      <c r="BR21" s="1291" t="s">
        <v>1546</v>
      </c>
      <c r="BS21" s="1656"/>
      <c r="BT21" s="1508">
        <v>4189673</v>
      </c>
      <c r="BU21" s="1291" t="s">
        <v>1547</v>
      </c>
      <c r="BV21" s="1293"/>
      <c r="BW21" s="1922">
        <v>4189707</v>
      </c>
      <c r="BX21" s="1920" t="s">
        <v>1548</v>
      </c>
      <c r="BZ21" s="1508">
        <v>4189712</v>
      </c>
      <c r="CA21" s="1291" t="s">
        <v>1549</v>
      </c>
      <c r="CC21" s="1508">
        <v>4189710</v>
      </c>
      <c r="CD21" s="1291" t="s">
        <v>1550</v>
      </c>
    </row>
    <row customHeight="1" ht="21">
      <c r="A22" s="1297" t="s">
        <v>1551</v>
      </c>
      <c r="B22" s="1298">
        <v>2020</v>
      </c>
      <c r="N22" s="1382" t="s">
        <v>1552</v>
      </c>
      <c r="AW22" s="1344" t="s">
        <v>115</v>
      </c>
      <c r="AX22" s="1344" t="s">
        <v>115</v>
      </c>
      <c r="AZ22" s="1344" t="s">
        <v>1553</v>
      </c>
      <c r="BB22" s="1344" t="s">
        <v>1554</v>
      </c>
      <c r="BC22" s="1344" t="s">
        <v>1352</v>
      </c>
      <c r="BE22" s="1344">
        <v>2020</v>
      </c>
      <c r="BH22" s="1291" t="s">
        <v>1478</v>
      </c>
      <c r="BJ22" s="1291" t="s">
        <v>1424</v>
      </c>
      <c r="BL22" s="1291" t="s">
        <v>1424</v>
      </c>
      <c r="BQ22" s="1508">
        <v>4190067</v>
      </c>
      <c r="BR22" s="1291" t="s">
        <v>1555</v>
      </c>
      <c r="BS22" s="1656"/>
      <c r="BT22" s="1508">
        <v>4189674</v>
      </c>
      <c r="BU22" s="1291" t="s">
        <v>1556</v>
      </c>
      <c r="BV22" s="1293"/>
      <c r="BW22" s="1293"/>
      <c r="CC22" s="1508">
        <v>4189711</v>
      </c>
      <c r="CD22" s="1291" t="s">
        <v>399</v>
      </c>
    </row>
    <row customHeight="1" ht="21">
      <c r="A23" s="1297" t="s">
        <v>1557</v>
      </c>
      <c r="B23" s="1298">
        <v>2021</v>
      </c>
      <c r="AW23" s="1344" t="s">
        <v>1558</v>
      </c>
      <c r="AX23" s="1344" t="s">
        <v>1558</v>
      </c>
      <c r="AZ23" s="1344" t="s">
        <v>1559</v>
      </c>
      <c r="BB23" s="1344" t="s">
        <v>1560</v>
      </c>
      <c r="BC23" s="1344" t="s">
        <v>1262</v>
      </c>
      <c r="BE23" s="1344">
        <v>2021</v>
      </c>
      <c r="BH23" s="1291" t="s">
        <v>1486</v>
      </c>
      <c r="BJ23" s="1291" t="s">
        <v>1439</v>
      </c>
      <c r="BL23" s="1291" t="s">
        <v>1439</v>
      </c>
      <c r="BQ23" s="1508">
        <v>4190068</v>
      </c>
      <c r="BR23" s="1291" t="s">
        <v>1561</v>
      </c>
      <c r="BS23" s="1656"/>
      <c r="BT23" s="1508">
        <v>4189675</v>
      </c>
      <c r="BU23" s="1291" t="s">
        <v>1562</v>
      </c>
      <c r="BV23" s="1293"/>
      <c r="BW23" s="1293"/>
      <c r="CC23" s="1508">
        <v>5110778</v>
      </c>
      <c r="CD23" s="1291" t="s">
        <v>1563</v>
      </c>
    </row>
    <row customHeight="1" ht="21">
      <c r="A24" s="1297" t="s">
        <v>1564</v>
      </c>
      <c r="B24" s="1298">
        <v>2022</v>
      </c>
      <c r="AW24" s="1344" t="s">
        <v>1565</v>
      </c>
      <c r="AX24" s="1344" t="s">
        <v>1565</v>
      </c>
      <c r="AZ24" s="1344" t="s">
        <v>1566</v>
      </c>
      <c r="BB24" s="1344" t="s">
        <v>1567</v>
      </c>
      <c r="BC24" s="1344" t="s">
        <v>1568</v>
      </c>
      <c r="BE24" s="1344">
        <v>2022</v>
      </c>
      <c r="BH24" s="1291" t="s">
        <v>1495</v>
      </c>
      <c r="BJ24" s="1291" t="s">
        <v>1453</v>
      </c>
      <c r="BL24" s="1291" t="s">
        <v>1453</v>
      </c>
      <c r="BQ24" s="1508">
        <v>4190069</v>
      </c>
      <c r="BR24" s="1291" t="s">
        <v>1569</v>
      </c>
      <c r="BS24" s="1656"/>
      <c r="BT24" s="1508">
        <v>4189676</v>
      </c>
      <c r="BU24" s="1291" t="s">
        <v>1570</v>
      </c>
      <c r="BV24" s="1293"/>
      <c r="BW24" s="1293"/>
      <c r="CC24" s="1508">
        <v>25575374</v>
      </c>
      <c r="CD24" s="1291" t="s">
        <v>1571</v>
      </c>
    </row>
    <row customHeight="1" ht="11.25">
      <c r="A25" s="1297" t="s">
        <v>1572</v>
      </c>
      <c r="B25" s="1298">
        <v>2023</v>
      </c>
      <c r="AW25" s="1344" t="s">
        <v>1573</v>
      </c>
      <c r="AX25" s="1344" t="s">
        <v>1573</v>
      </c>
      <c r="AZ25" s="1344" t="s">
        <v>1574</v>
      </c>
      <c r="BB25" s="1344" t="s">
        <v>1575</v>
      </c>
      <c r="BC25" s="1344" t="s">
        <v>1568</v>
      </c>
      <c r="BE25" s="1344">
        <v>2023</v>
      </c>
      <c r="BH25" s="1291" t="s">
        <v>1502</v>
      </c>
      <c r="BJ25" s="1291" t="s">
        <v>1526</v>
      </c>
      <c r="BL25" s="1291" t="s">
        <v>1526</v>
      </c>
      <c r="BQ25" s="1508">
        <v>4190070</v>
      </c>
      <c r="BR25" s="1291" t="s">
        <v>1576</v>
      </c>
      <c r="BS25" s="1656"/>
      <c r="BT25" s="1508">
        <v>4189677</v>
      </c>
      <c r="BU25" s="1291" t="s">
        <v>1577</v>
      </c>
      <c r="BV25" s="1293"/>
      <c r="BW25" s="1293"/>
    </row>
    <row customHeight="1" ht="11.25">
      <c r="A26" s="1297" t="s">
        <v>1578</v>
      </c>
      <c r="B26" s="1298">
        <v>2024</v>
      </c>
      <c r="J26" s="1958" t="s">
        <v>1579</v>
      </c>
      <c r="AX26" s="1344" t="s">
        <v>1580</v>
      </c>
      <c r="AZ26" s="1344" t="s">
        <v>1446</v>
      </c>
      <c r="BB26" s="1344" t="s">
        <v>1581</v>
      </c>
      <c r="BC26" s="1344" t="s">
        <v>1568</v>
      </c>
      <c r="BE26" s="1344">
        <v>2024</v>
      </c>
      <c r="BH26" s="1291" t="s">
        <v>1512</v>
      </c>
      <c r="BJ26" s="1291" t="s">
        <v>1464</v>
      </c>
      <c r="BL26" s="1291" t="s">
        <v>1464</v>
      </c>
      <c r="BQ26" s="1508">
        <v>4190071</v>
      </c>
      <c r="BR26" s="1291" t="s">
        <v>1582</v>
      </c>
      <c r="BS26" s="1656"/>
      <c r="BV26" s="1293"/>
      <c r="BW26" s="1293"/>
    </row>
    <row customHeight="1" ht="11.25">
      <c r="A27" s="1297" t="s">
        <v>1583</v>
      </c>
      <c r="B27" s="1298">
        <v>2025</v>
      </c>
      <c r="J27" s="399" t="s">
        <v>100</v>
      </c>
      <c r="AX27" s="1344" t="s">
        <v>1584</v>
      </c>
      <c r="BB27" s="1344" t="s">
        <v>1585</v>
      </c>
      <c r="BC27" s="1344" t="s">
        <v>1568</v>
      </c>
      <c r="BE27" s="1344">
        <v>2025</v>
      </c>
      <c r="BH27" s="1293" t="s">
        <v>24</v>
      </c>
      <c r="BJ27" s="1291" t="s">
        <v>1471</v>
      </c>
      <c r="BL27" s="1291" t="s">
        <v>1471</v>
      </c>
      <c r="BN27" s="1293" t="s">
        <v>24</v>
      </c>
      <c r="BQ27" s="1508">
        <v>4190072</v>
      </c>
      <c r="BR27" s="1291" t="s">
        <v>1586</v>
      </c>
      <c r="BS27" s="1656"/>
      <c r="BV27" s="1293"/>
      <c r="BW27" s="1293"/>
    </row>
    <row customHeight="1" ht="11.25">
      <c r="A28" s="1297" t="s">
        <v>1587</v>
      </c>
      <c r="D28" s="1324"/>
      <c r="E28" s="1325"/>
      <c r="F28" s="1325"/>
      <c r="H28" s="1326" t="s">
        <v>1588</v>
      </c>
      <c r="AX28" s="1344" t="s">
        <v>1589</v>
      </c>
      <c r="AZ28" s="1290" t="s">
        <v>1590</v>
      </c>
      <c r="BB28" s="1344" t="s">
        <v>1591</v>
      </c>
      <c r="BC28" s="1344" t="s">
        <v>1592</v>
      </c>
      <c r="BE28" s="1344">
        <v>2026</v>
      </c>
      <c r="BH28" s="1293" t="s">
        <v>24</v>
      </c>
      <c r="BJ28" s="1291" t="s">
        <v>1478</v>
      </c>
      <c r="BL28" s="1291" t="s">
        <v>1478</v>
      </c>
      <c r="BN28" s="1293" t="s">
        <v>24</v>
      </c>
      <c r="BQ28" s="1508">
        <v>4190073</v>
      </c>
      <c r="BR28" s="1291" t="s">
        <v>1593</v>
      </c>
      <c r="BS28" s="1656"/>
      <c r="BV28" s="1293"/>
      <c r="BW28" s="1293"/>
    </row>
    <row customHeight="1" ht="11.25">
      <c r="A29" s="1297" t="s">
        <v>1594</v>
      </c>
      <c r="D29" s="1327" t="s">
        <v>1595</v>
      </c>
      <c r="E29" s="1328" t="str">
        <f>IF(TEMPLATE_GROUP="","",INDEX(StartDateList,MATCH(TEMPLATE_GROUP,CodeTemplateList,0),1))</f>
        <v>45658.58773148148</v>
      </c>
      <c r="F29" s="1328" t="str">
        <f>IF(TEMPLATE_GROUP="","",INDEX(EndDateList,MATCH(TEMPLATE_GROUP,CodeTemplateList,0),1))</f>
        <v>47118.5878125</v>
      </c>
      <c r="H29" s="1329" t="s">
        <v>1596</v>
      </c>
      <c r="AX29" s="1344" t="s">
        <v>1597</v>
      </c>
      <c r="AZ29" s="1344" t="s">
        <v>1246</v>
      </c>
      <c r="BB29" s="1344" t="s">
        <v>1446</v>
      </c>
      <c r="BC29" s="1314"/>
      <c r="BE29" s="1344">
        <v>2027</v>
      </c>
      <c r="BJ29" s="1291" t="s">
        <v>1486</v>
      </c>
      <c r="BL29" s="1291" t="s">
        <v>1486</v>
      </c>
    </row>
    <row customHeight="1" ht="11.25">
      <c r="A30" s="1297" t="s">
        <v>1598</v>
      </c>
      <c r="D30" s="1330"/>
      <c r="E30" s="1331"/>
      <c r="F30" s="1331"/>
      <c r="AX30" s="1344" t="s">
        <v>1599</v>
      </c>
      <c r="AZ30" s="1344" t="s">
        <v>1272</v>
      </c>
      <c r="BE30" s="1344">
        <v>2028</v>
      </c>
      <c r="BJ30" s="1291" t="s">
        <v>1600</v>
      </c>
      <c r="BL30" s="1291" t="s">
        <v>1600</v>
      </c>
    </row>
    <row customHeight="1" ht="12.75">
      <c r="A31" s="1297" t="s">
        <v>1601</v>
      </c>
      <c r="D31" s="1324"/>
      <c r="E31" s="1325"/>
      <c r="F31" s="1325"/>
      <c r="H31" s="1332"/>
      <c r="AX31" s="1344" t="s">
        <v>1602</v>
      </c>
      <c r="AZ31" s="1344" t="s">
        <v>1603</v>
      </c>
      <c r="BE31" s="1344">
        <v>2029</v>
      </c>
      <c r="BJ31" s="1291" t="s">
        <v>1604</v>
      </c>
      <c r="BL31" s="1291" t="s">
        <v>1604</v>
      </c>
    </row>
    <row customHeight="1" ht="11.25">
      <c r="A32" s="1297" t="s">
        <v>1605</v>
      </c>
      <c r="D32" s="1327" t="s">
        <v>1606</v>
      </c>
      <c r="E32" s="1328" t="str">
        <f>IF(TEMPLATE_GROUP="","",INDEX(StartDateList,MATCH(TEMPLATE_GROUP,CodeTemplateList,0),1))</f>
        <v>45658.58773148148</v>
      </c>
      <c r="F32" s="1328" t="str">
        <f>IF(TEMPLATE_GROUP="","",INDEX(EndDateList,MATCH(TEMPLATE_GROUP,CodeTemplateList,0),1))</f>
        <v>47118.5878125</v>
      </c>
      <c r="H32" s="1333" t="s">
        <v>1607</v>
      </c>
      <c r="O32" s="1297" t="s">
        <v>1244</v>
      </c>
      <c r="AX32" s="1344" t="s">
        <v>1608</v>
      </c>
      <c r="AZ32" s="1344" t="s">
        <v>1340</v>
      </c>
      <c r="BE32" s="1344">
        <v>2030</v>
      </c>
      <c r="BJ32" s="1291" t="s">
        <v>1495</v>
      </c>
      <c r="BL32" s="1291" t="s">
        <v>1495</v>
      </c>
    </row>
    <row customHeight="1" ht="11.25">
      <c r="A33" s="1297" t="s">
        <v>1609</v>
      </c>
      <c r="O33" s="1297" t="s">
        <v>1270</v>
      </c>
      <c r="AX33" s="1344" t="s">
        <v>1610</v>
      </c>
      <c r="AZ33" s="1344" t="s">
        <v>647</v>
      </c>
      <c r="BE33" s="1344">
        <v>2031</v>
      </c>
      <c r="BJ33" s="1291" t="s">
        <v>1502</v>
      </c>
      <c r="BL33" s="1291" t="s">
        <v>1502</v>
      </c>
    </row>
    <row customHeight="1" ht="11.25">
      <c r="A34" s="1297" t="s">
        <v>1611</v>
      </c>
      <c r="O34" s="1297" t="s">
        <v>1305</v>
      </c>
      <c r="AX34" s="1344" t="s">
        <v>1612</v>
      </c>
      <c r="BE34" s="1344">
        <v>2032</v>
      </c>
      <c r="BJ34" s="1291" t="s">
        <v>1512</v>
      </c>
      <c r="BL34" s="1291" t="s">
        <v>1512</v>
      </c>
    </row>
    <row customHeight="1" ht="11.25">
      <c r="A35" s="1297" t="s">
        <v>1613</v>
      </c>
      <c r="O35" s="1297" t="s">
        <v>1338</v>
      </c>
      <c r="AX35" s="1344" t="s">
        <v>1614</v>
      </c>
      <c r="AZ35" s="1290" t="s">
        <v>1615</v>
      </c>
      <c r="BE35" s="1344">
        <v>2033</v>
      </c>
      <c r="BL35" s="1291" t="s">
        <v>1616</v>
      </c>
    </row>
    <row customHeight="1" ht="11.25">
      <c r="A36" s="2098" t="s">
        <v>1617</v>
      </c>
      <c r="D36" s="1334" t="s">
        <v>1618</v>
      </c>
      <c r="E36" s="1335" t="s">
        <v>915</v>
      </c>
      <c r="F36" s="1336" t="str">
        <f>INDEX(E37:E41,MATCH(TEMPLATE_SPHERE,F37:F41,0))</f>
        <v>горячего водоснабжения</v>
      </c>
      <c r="G36" s="1336" t="str">
        <f>INDEX(G37:G41,MATCH(TEMPLATE_SPHERE,F37:F41,0))</f>
        <v>горячее водоснабжение</v>
      </c>
      <c r="O36" s="1297" t="s">
        <v>1363</v>
      </c>
      <c r="AX36" s="1344" t="s">
        <v>1619</v>
      </c>
      <c r="AZ36" s="1344" t="s">
        <v>647</v>
      </c>
      <c r="BE36" s="1344">
        <v>2034</v>
      </c>
      <c r="BL36" s="1291" t="s">
        <v>1620</v>
      </c>
    </row>
    <row customHeight="1" ht="11.25">
      <c r="A37" s="1297" t="s">
        <v>1621</v>
      </c>
      <c r="E37" s="629" t="s">
        <v>1622</v>
      </c>
      <c r="F37" s="1337" t="s">
        <v>828</v>
      </c>
      <c r="G37" s="629" t="s">
        <v>1623</v>
      </c>
      <c r="O37" s="1297" t="s">
        <v>1382</v>
      </c>
      <c r="AX37" s="1344" t="s">
        <v>1624</v>
      </c>
      <c r="AZ37" s="1344" t="s">
        <v>1271</v>
      </c>
      <c r="BE37" s="1344">
        <v>2035</v>
      </c>
    </row>
    <row customHeight="1" ht="11.25">
      <c r="A38" s="1297" t="s">
        <v>1625</v>
      </c>
      <c r="E38" s="629" t="s">
        <v>1626</v>
      </c>
      <c r="F38" s="1338" t="s">
        <v>874</v>
      </c>
      <c r="G38" s="629" t="s">
        <v>1627</v>
      </c>
      <c r="O38" s="1297" t="s">
        <v>1399</v>
      </c>
      <c r="AX38" s="1344" t="s">
        <v>1628</v>
      </c>
      <c r="AZ38" s="1344" t="s">
        <v>1306</v>
      </c>
      <c r="BE38" s="1344">
        <v>2036</v>
      </c>
      <c r="BH38" s="1290" t="s">
        <v>1629</v>
      </c>
      <c r="BJ38" s="1290" t="s">
        <v>1630</v>
      </c>
      <c r="BL38" s="1290" t="s">
        <v>1631</v>
      </c>
      <c r="BN38" s="1290" t="s">
        <v>1632</v>
      </c>
    </row>
    <row customHeight="1" ht="11.25">
      <c r="A39" s="1297" t="s">
        <v>1633</v>
      </c>
      <c r="E39" s="629" t="s">
        <v>1634</v>
      </c>
      <c r="F39" s="1338" t="s">
        <v>929</v>
      </c>
      <c r="G39" s="629" t="s">
        <v>1635</v>
      </c>
      <c r="O39" s="1297" t="s">
        <v>1415</v>
      </c>
      <c r="AX39" s="1344" t="s">
        <v>138</v>
      </c>
      <c r="AZ39" s="1344" t="s">
        <v>1339</v>
      </c>
      <c r="BE39" s="1344">
        <v>2037</v>
      </c>
      <c r="BH39" s="1291" t="s">
        <v>1636</v>
      </c>
      <c r="BJ39" s="1443" t="s">
        <v>1636</v>
      </c>
      <c r="BL39" s="1443" t="s">
        <v>1636</v>
      </c>
      <c r="BN39" s="1291" t="s">
        <v>1637</v>
      </c>
    </row>
    <row customHeight="1" ht="11.25">
      <c r="A40" s="1297" t="s">
        <v>1638</v>
      </c>
      <c r="E40" s="629" t="s">
        <v>1639</v>
      </c>
      <c r="F40" s="1338" t="s">
        <v>915</v>
      </c>
      <c r="G40" s="629" t="s">
        <v>1640</v>
      </c>
      <c r="O40" s="1297" t="s">
        <v>1431</v>
      </c>
      <c r="AX40" s="1344" t="s">
        <v>123</v>
      </c>
      <c r="BE40" s="1344">
        <v>2038</v>
      </c>
      <c r="BH40" s="1291" t="s">
        <v>1641</v>
      </c>
      <c r="BJ40" s="1443" t="s">
        <v>1050</v>
      </c>
      <c r="BL40" s="1443" t="s">
        <v>1050</v>
      </c>
      <c r="BN40" s="1291" t="s">
        <v>1084</v>
      </c>
    </row>
    <row customHeight="1" ht="11.25">
      <c r="A41" s="1297" t="s">
        <v>1642</v>
      </c>
      <c r="E41" s="629" t="s">
        <v>1643</v>
      </c>
      <c r="F41" s="1338" t="s">
        <v>1644</v>
      </c>
      <c r="G41" s="629" t="s">
        <v>1643</v>
      </c>
      <c r="O41" s="1297" t="s">
        <v>1446</v>
      </c>
      <c r="AX41" s="1344" t="s">
        <v>1645</v>
      </c>
      <c r="AZ41" s="1290" t="s">
        <v>1646</v>
      </c>
      <c r="BE41" s="1344">
        <v>2039</v>
      </c>
      <c r="BH41" s="1291" t="s">
        <v>1647</v>
      </c>
      <c r="BJ41" s="1443" t="s">
        <v>1046</v>
      </c>
      <c r="BL41" s="1443" t="s">
        <v>1046</v>
      </c>
      <c r="BN41" s="1291" t="s">
        <v>1071</v>
      </c>
    </row>
    <row customHeight="1" ht="11.25">
      <c r="A42" s="1297" t="s">
        <v>1648</v>
      </c>
      <c r="AX42" s="1344" t="s">
        <v>1649</v>
      </c>
      <c r="AZ42" s="1344" t="s">
        <v>1244</v>
      </c>
      <c r="BE42" s="1344">
        <v>2040</v>
      </c>
      <c r="BH42" s="1291" t="s">
        <v>1068</v>
      </c>
      <c r="BJ42" s="1443" t="s">
        <v>1048</v>
      </c>
      <c r="BL42" s="1443" t="s">
        <v>1048</v>
      </c>
      <c r="BN42" s="1291" t="s">
        <v>1650</v>
      </c>
    </row>
    <row customHeight="1" ht="11.25">
      <c r="A43" s="1297" t="s">
        <v>1651</v>
      </c>
      <c r="AX43" s="1344" t="s">
        <v>1652</v>
      </c>
      <c r="AZ43" s="1344" t="s">
        <v>1270</v>
      </c>
      <c r="BE43" s="1344">
        <v>2041</v>
      </c>
      <c r="BH43" s="1291" t="s">
        <v>1653</v>
      </c>
      <c r="BJ43" s="1443" t="s">
        <v>1647</v>
      </c>
      <c r="BL43" s="1443" t="s">
        <v>1647</v>
      </c>
      <c r="BN43" s="1291" t="s">
        <v>1654</v>
      </c>
    </row>
    <row customHeight="1" ht="11.25">
      <c r="A44" s="1297" t="s">
        <v>1655</v>
      </c>
      <c r="I44" s="1021" t="s">
        <v>1656</v>
      </c>
      <c r="J44" s="1312" t="s">
        <v>1657</v>
      </c>
      <c r="K44" s="1312" t="s">
        <v>1658</v>
      </c>
      <c r="AX44" s="1344" t="s">
        <v>1659</v>
      </c>
      <c r="AZ44" s="1344" t="s">
        <v>1305</v>
      </c>
      <c r="BE44" s="1344">
        <v>2042</v>
      </c>
      <c r="BH44" s="1291" t="s">
        <v>1660</v>
      </c>
      <c r="BJ44" s="1443" t="s">
        <v>1068</v>
      </c>
      <c r="BL44" s="1443" t="s">
        <v>1068</v>
      </c>
      <c r="BN44" s="1291" t="s">
        <v>1661</v>
      </c>
    </row>
    <row customHeight="1" ht="11.25">
      <c r="A45" s="1297" t="s">
        <v>1662</v>
      </c>
      <c r="D45" s="1334" t="s">
        <v>1663</v>
      </c>
      <c r="E45" s="1335" t="s">
        <v>1664</v>
      </c>
      <c r="F45" s="1019" t="s">
        <v>1665</v>
      </c>
      <c r="G45" s="1018" t="s">
        <v>1666</v>
      </c>
      <c r="H45" s="1021" t="s">
        <v>1667</v>
      </c>
      <c r="I45" s="1968">
        <f>INDEX(PeriodIsEmptyList,MATCH(TEMPLATE_GROUP,CodeTemplateList,0),1)</f>
        <v>0</v>
      </c>
      <c r="J45" s="1971"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9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44" t="s">
        <v>1668</v>
      </c>
      <c r="AZ45" s="1344" t="s">
        <v>1338</v>
      </c>
      <c r="BE45" s="1344">
        <v>2043</v>
      </c>
      <c r="BH45" s="1291" t="s">
        <v>1669</v>
      </c>
      <c r="BJ45" s="1443" t="s">
        <v>1062</v>
      </c>
      <c r="BL45" s="1443" t="s">
        <v>1062</v>
      </c>
      <c r="BN45" s="1291" t="s">
        <v>1670</v>
      </c>
    </row>
    <row customHeight="1" ht="11.25">
      <c r="A46" s="1297" t="s">
        <v>1671</v>
      </c>
      <c r="E46" s="629" t="s">
        <v>22</v>
      </c>
      <c r="F46" s="1337" t="s">
        <v>1672</v>
      </c>
      <c r="G46" s="1339"/>
      <c r="H46" s="1339"/>
      <c r="I46" s="1969">
        <f>IF(TITLE_DATE_FIL="",TRUE,FALSE)</f>
        <v>1</v>
      </c>
      <c r="J46" s="1972" t="str">
        <f>"Общая информация о регулируемой организации ("&amp;TEMPLATE_SPHERE_RUS&amp;")"</f>
        <v>Общая информация о регулируемой организации (горячего водоснабжения)</v>
      </c>
      <c r="K46" s="1973"/>
      <c r="AX46" s="1344" t="s">
        <v>1673</v>
      </c>
      <c r="AZ46" s="1344" t="s">
        <v>1363</v>
      </c>
      <c r="BE46" s="1344">
        <v>2044</v>
      </c>
      <c r="BH46" s="1291" t="s">
        <v>1071</v>
      </c>
      <c r="BJ46" s="1443" t="s">
        <v>1052</v>
      </c>
      <c r="BL46" s="1443" t="s">
        <v>1052</v>
      </c>
      <c r="BN46" s="1291" t="s">
        <v>1674</v>
      </c>
    </row>
    <row customHeight="1" ht="11.25">
      <c r="A47" s="1297" t="s">
        <v>1675</v>
      </c>
      <c r="E47" s="629" t="s">
        <v>29</v>
      </c>
      <c r="F47" s="1338" t="s">
        <v>1676</v>
      </c>
      <c r="G47" s="1340" t="str">
        <f>IF(f_year="","",IF(LEN(f_quart)=0,"",IF(f_quart="I квартал","01.01."&amp;f_year,IF(f_quart="II квартал","01.04."&amp;f_year,(IF(f_quart="III квартал","01.07."&amp;f_year,"01.10."&amp;f_year))))))</f>
        <v/>
      </c>
      <c r="H47" s="1340" t="str">
        <f>IF(f_year="","",IF(LEN(f_quart)=0,"",IF(f_quart="I квартал","31.03."&amp;f_year,IF(f_quart="II квартал","30.06."&amp;f_year,(IF(f_quart="III квартал","30.09."&amp;f_year,"31.12."&amp;f_year))))))</f>
        <v/>
      </c>
      <c r="I47" s="1970">
        <f>IF(OR(f_year="",f_quart=""),TRUE,FALSE)</f>
        <v>1</v>
      </c>
      <c r="J47" s="19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973"/>
      <c r="AX47" s="1344" t="s">
        <v>1677</v>
      </c>
      <c r="AZ47" s="1344" t="s">
        <v>1382</v>
      </c>
      <c r="BE47" s="1344">
        <v>2045</v>
      </c>
      <c r="BH47" s="1291" t="s">
        <v>1650</v>
      </c>
      <c r="BJ47" s="1443" t="s">
        <v>1054</v>
      </c>
      <c r="BL47" s="1443" t="s">
        <v>1054</v>
      </c>
      <c r="BN47" s="1291" t="s">
        <v>1678</v>
      </c>
    </row>
    <row customHeight="1" ht="11.25">
      <c r="A48" s="1297" t="s">
        <v>1679</v>
      </c>
      <c r="E48" s="629" t="s">
        <v>1680</v>
      </c>
      <c r="F48" s="1338" t="s">
        <v>1681</v>
      </c>
      <c r="G48" s="1340" t="str">
        <f>IF(f_year="","","01.01."&amp;f_year)</f>
        <v/>
      </c>
      <c r="H48" s="1340" t="str">
        <f>IF(f_year="","","31.12."&amp;f_year)</f>
        <v/>
      </c>
      <c r="I48" s="1969">
        <f>IF(f_year="",TRUE,FALSE)</f>
        <v>1</v>
      </c>
      <c r="J48" s="1972" t="s">
        <v>1682</v>
      </c>
      <c r="K48" s="1973"/>
      <c r="AX48" s="1344" t="s">
        <v>1683</v>
      </c>
      <c r="AZ48" s="1344" t="s">
        <v>1399</v>
      </c>
      <c r="BE48" s="1344">
        <v>2046</v>
      </c>
      <c r="BH48" s="1291" t="s">
        <v>1654</v>
      </c>
      <c r="BJ48" s="1443" t="s">
        <v>1056</v>
      </c>
      <c r="BL48" s="1443" t="s">
        <v>1056</v>
      </c>
      <c r="BN48" s="1291" t="s">
        <v>1684</v>
      </c>
    </row>
    <row customHeight="1" ht="11.25">
      <c r="A49" s="1297" t="s">
        <v>14</v>
      </c>
      <c r="E49" s="629" t="s">
        <v>1685</v>
      </c>
      <c r="F49" s="1338" t="s">
        <v>1686</v>
      </c>
      <c r="G49" s="1340" t="str">
        <f>IF(f_year="","","01.01."&amp;f_year)</f>
        <v/>
      </c>
      <c r="H49" s="1340" t="str">
        <f>IF(f_year="","","31.12."&amp;f_year)</f>
        <v/>
      </c>
      <c r="I49" s="1969">
        <f>IF(f_year="",TRUE,FALSE)</f>
        <v>1</v>
      </c>
      <c r="J49" s="19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973"/>
      <c r="AX49" s="1344" t="s">
        <v>1687</v>
      </c>
      <c r="AZ49" s="1344" t="s">
        <v>1415</v>
      </c>
      <c r="BE49" s="1344">
        <v>2047</v>
      </c>
      <c r="BH49" s="1291" t="s">
        <v>1072</v>
      </c>
      <c r="BJ49" s="1443" t="s">
        <v>1058</v>
      </c>
      <c r="BL49" s="1443" t="s">
        <v>1058</v>
      </c>
    </row>
    <row customHeight="1" ht="11.25">
      <c r="A50" s="1297" t="s">
        <v>1688</v>
      </c>
      <c r="E50" s="629" t="s">
        <v>1689</v>
      </c>
      <c r="F50" s="1338" t="s">
        <v>1042</v>
      </c>
      <c r="G50" s="1340" t="str">
        <f>IF(f_year="","","01.01."&amp;f_year)</f>
        <v/>
      </c>
      <c r="H50" s="1340" t="str">
        <f>IF(f_year="","","31.12."&amp;f_year)</f>
        <v/>
      </c>
      <c r="I50" s="1969">
        <f>IF(f_year="",TRUE,FALSE)</f>
        <v>1</v>
      </c>
      <c r="J50" s="19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973"/>
      <c r="AX50" s="1344" t="s">
        <v>1690</v>
      </c>
      <c r="AZ50" s="1344" t="s">
        <v>1431</v>
      </c>
      <c r="BE50" s="1344">
        <v>2048</v>
      </c>
      <c r="BH50" s="1291" t="s">
        <v>1661</v>
      </c>
      <c r="BJ50" s="1443" t="s">
        <v>1060</v>
      </c>
      <c r="BL50" s="1443" t="s">
        <v>1060</v>
      </c>
    </row>
    <row customHeight="1" ht="11.25">
      <c r="A51" s="1297" t="s">
        <v>1691</v>
      </c>
      <c r="E51" s="629" t="s">
        <v>1692</v>
      </c>
      <c r="F51" s="1338" t="s">
        <v>1664</v>
      </c>
      <c r="G51" s="1340" t="str">
        <f>IF(TITLE_PERIOD_START="","",TITLE_PERIOD_START)</f>
        <v>45658.58773148148</v>
      </c>
      <c r="H51" s="1340" t="str">
        <f>IF(TITLE_PERIOD_END="","",TITLE_PERIOD_END)</f>
        <v>47118.5878125</v>
      </c>
      <c r="I51" s="1970">
        <f>IF(OR(TITLE_PERIOD_START="",TITLE_PERIOD_END=""),TRUE,FALSE)</f>
        <v>0</v>
      </c>
      <c r="J51" s="19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73"/>
      <c r="AX51" s="1344" t="s">
        <v>1693</v>
      </c>
      <c r="AZ51" s="1344" t="s">
        <v>1446</v>
      </c>
      <c r="BE51" s="1344">
        <v>2049</v>
      </c>
      <c r="BH51" s="1291" t="s">
        <v>1670</v>
      </c>
      <c r="BJ51" s="1443" t="s">
        <v>1694</v>
      </c>
      <c r="BL51" s="1443" t="s">
        <v>1694</v>
      </c>
    </row>
    <row customHeight="1" ht="11.25">
      <c r="A52" s="1297" t="s">
        <v>1695</v>
      </c>
      <c r="E52" s="629" t="s">
        <v>1696</v>
      </c>
      <c r="F52" s="1338" t="s">
        <v>1697</v>
      </c>
      <c r="G52" s="1340" t="str">
        <f>IF(TITLE_PERIOD_START="","",TITLE_PERIOD_START)</f>
        <v>45658.58773148148</v>
      </c>
      <c r="H52" s="1340" t="str">
        <f>IF(TITLE_PERIOD_END="","",TITLE_PERIOD_END)</f>
        <v>47118.5878125</v>
      </c>
      <c r="I52" s="1970">
        <f>IF(OR(TITLE_PERIOD_START="",TITLE_PERIOD_END=""),TRUE,FALSE)</f>
        <v>0</v>
      </c>
      <c r="J52" s="1972"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973"/>
      <c r="AX52" s="1344" t="s">
        <v>1698</v>
      </c>
      <c r="AZ52" s="1344" t="s">
        <v>647</v>
      </c>
      <c r="BE52" s="1344">
        <v>2050</v>
      </c>
      <c r="BH52" s="1291" t="s">
        <v>1674</v>
      </c>
      <c r="BJ52" s="1443" t="s">
        <v>1071</v>
      </c>
      <c r="BL52" s="1443" t="s">
        <v>1071</v>
      </c>
    </row>
    <row customHeight="1" ht="11.25">
      <c r="A53" s="1297" t="s">
        <v>1699</v>
      </c>
      <c r="E53" s="629" t="s">
        <v>1700</v>
      </c>
      <c r="F53" s="1338" t="s">
        <v>1700</v>
      </c>
      <c r="G53" s="1340" t="str">
        <f>IF(f_year="","","01.01."&amp;f_year)</f>
        <v/>
      </c>
      <c r="H53" s="1340" t="str">
        <f>IF(f_year="","","31.12."&amp;f_year)</f>
        <v/>
      </c>
      <c r="I53" s="1969">
        <f>IF(AND(f_year="",TITLE_DATE_FIL=""),TRUE,FALSE)</f>
        <v>1</v>
      </c>
      <c r="J53" s="1972" t="s">
        <v>1701</v>
      </c>
      <c r="K53" s="1973"/>
      <c r="AX53" s="1344" t="s">
        <v>133</v>
      </c>
      <c r="BE53" s="1344">
        <v>2051</v>
      </c>
      <c r="BH53" s="1291" t="s">
        <v>1678</v>
      </c>
      <c r="BJ53" s="1443" t="s">
        <v>1650</v>
      </c>
      <c r="BL53" s="1443" t="s">
        <v>1650</v>
      </c>
    </row>
    <row customHeight="1" ht="11.25">
      <c r="A54" s="1297" t="s">
        <v>1702</v>
      </c>
      <c r="AX54" s="1344" t="s">
        <v>1703</v>
      </c>
      <c r="AZ54" s="1290" t="s">
        <v>1704</v>
      </c>
      <c r="BE54" s="1344">
        <v>2052</v>
      </c>
      <c r="BH54" s="1291" t="s">
        <v>1684</v>
      </c>
      <c r="BJ54" s="1443" t="s">
        <v>1654</v>
      </c>
      <c r="BL54" s="1443" t="s">
        <v>1654</v>
      </c>
    </row>
    <row customHeight="1" ht="11.25">
      <c r="A55" s="1297" t="s">
        <v>1705</v>
      </c>
      <c r="AX55" s="1344" t="s">
        <v>1706</v>
      </c>
      <c r="AZ55" s="1344" t="s">
        <v>1247</v>
      </c>
      <c r="BE55" s="1344">
        <v>2053</v>
      </c>
      <c r="BH55" s="1293" t="s">
        <v>24</v>
      </c>
      <c r="BJ55" s="1443" t="s">
        <v>1072</v>
      </c>
      <c r="BL55" s="1443" t="s">
        <v>1072</v>
      </c>
    </row>
    <row customHeight="1" ht="11.25">
      <c r="A56" s="1297" t="s">
        <v>1707</v>
      </c>
      <c r="D56" s="1342" t="s">
        <v>1708</v>
      </c>
      <c r="E56" s="1318">
        <v>68</v>
      </c>
      <c r="F56" s="1297" t="s">
        <v>1709</v>
      </c>
      <c r="AX56" s="1344" t="s">
        <v>1710</v>
      </c>
      <c r="AZ56" s="1344" t="s">
        <v>1273</v>
      </c>
      <c r="BE56" s="1344">
        <v>2054</v>
      </c>
      <c r="BH56" s="1293" t="s">
        <v>24</v>
      </c>
      <c r="BJ56" s="1443" t="s">
        <v>1661</v>
      </c>
      <c r="BL56" s="1443" t="s">
        <v>1661</v>
      </c>
    </row>
    <row customHeight="1" ht="11.25">
      <c r="A57" s="1297" t="s">
        <v>1711</v>
      </c>
      <c r="D57" s="1342" t="s">
        <v>1712</v>
      </c>
      <c r="E57" s="1318">
        <v>66</v>
      </c>
      <c r="F57" s="1297" t="s">
        <v>1709</v>
      </c>
      <c r="AX57" s="1344" t="s">
        <v>1713</v>
      </c>
      <c r="AZ57" s="1344" t="s">
        <v>1308</v>
      </c>
      <c r="BE57" s="1344">
        <v>2055</v>
      </c>
      <c r="BJ57" s="1443" t="s">
        <v>1670</v>
      </c>
      <c r="BL57" s="1443" t="s">
        <v>1670</v>
      </c>
    </row>
    <row customHeight="1" ht="11.25">
      <c r="A58" s="1297" t="s">
        <v>1714</v>
      </c>
      <c r="D58" s="1342" t="s">
        <v>1715</v>
      </c>
      <c r="E58" s="1318">
        <v>44</v>
      </c>
      <c r="F58" s="1297" t="s">
        <v>1709</v>
      </c>
      <c r="AX58" s="1344" t="s">
        <v>1716</v>
      </c>
      <c r="BE58" s="1344">
        <v>2056</v>
      </c>
      <c r="BJ58" s="1443" t="s">
        <v>1674</v>
      </c>
      <c r="BL58" s="1443" t="s">
        <v>1674</v>
      </c>
    </row>
    <row customHeight="1" ht="11.25">
      <c r="A59" s="1297" t="s">
        <v>1717</v>
      </c>
      <c r="D59" s="1342" t="s">
        <v>187</v>
      </c>
      <c r="E59" s="1318" t="s">
        <v>115</v>
      </c>
      <c r="F59" s="1297" t="s">
        <v>1718</v>
      </c>
      <c r="AX59" s="1344" t="s">
        <v>143</v>
      </c>
      <c r="AZ59" s="1290" t="s">
        <v>1719</v>
      </c>
      <c r="BE59" s="1344">
        <v>2057</v>
      </c>
      <c r="BJ59" s="1443" t="s">
        <v>1678</v>
      </c>
      <c r="BL59" s="1443" t="s">
        <v>1678</v>
      </c>
    </row>
    <row customHeight="1" ht="11.25">
      <c r="A60" s="1297" t="s">
        <v>1720</v>
      </c>
      <c r="D60" s="1342" t="s">
        <v>1721</v>
      </c>
      <c r="E60" s="1318" t="s">
        <v>115</v>
      </c>
      <c r="F60" s="1297" t="s">
        <v>1718</v>
      </c>
      <c r="AX60" s="1344" t="s">
        <v>1722</v>
      </c>
      <c r="AZ60" s="1344" t="s">
        <v>1248</v>
      </c>
      <c r="BE60" s="1344">
        <v>2058</v>
      </c>
      <c r="BJ60" s="1443" t="s">
        <v>1684</v>
      </c>
      <c r="BL60" s="1443" t="s">
        <v>1684</v>
      </c>
    </row>
    <row customHeight="1" ht="11.25">
      <c r="A61" s="1297" t="s">
        <v>1723</v>
      </c>
      <c r="D61" s="1342" t="s">
        <v>1724</v>
      </c>
      <c r="E61" s="1318">
        <v>26</v>
      </c>
      <c r="F61" s="1297" t="s">
        <v>1718</v>
      </c>
      <c r="AX61" s="1344" t="s">
        <v>1725</v>
      </c>
      <c r="AZ61" s="1344" t="s">
        <v>1274</v>
      </c>
      <c r="BE61" s="1344">
        <v>2059</v>
      </c>
      <c r="BL61" s="1443" t="s">
        <v>1064</v>
      </c>
    </row>
    <row customHeight="1" ht="11.25">
      <c r="A62" s="1297" t="s">
        <v>1726</v>
      </c>
      <c r="D62" s="1342" t="s">
        <v>186</v>
      </c>
      <c r="E62" s="1318">
        <v>43</v>
      </c>
      <c r="F62" s="1297" t="s">
        <v>1718</v>
      </c>
      <c r="AZ62" s="1344" t="s">
        <v>1309</v>
      </c>
      <c r="BE62" s="1344">
        <v>2060</v>
      </c>
      <c r="BL62" s="1443" t="s">
        <v>1066</v>
      </c>
    </row>
    <row customHeight="1" ht="11.25">
      <c r="A63" s="1297" t="s">
        <v>1727</v>
      </c>
      <c r="D63" s="1342" t="s">
        <v>1728</v>
      </c>
      <c r="E63" s="1318">
        <v>43</v>
      </c>
      <c r="F63" s="1297" t="s">
        <v>1718</v>
      </c>
      <c r="AZ63" s="1344" t="s">
        <v>1341</v>
      </c>
      <c r="BE63" s="1344">
        <v>2061</v>
      </c>
    </row>
    <row customHeight="1" ht="11.25">
      <c r="A64" s="1297" t="s">
        <v>1729</v>
      </c>
      <c r="D64" s="1342" t="s">
        <v>1730</v>
      </c>
      <c r="E64" s="1318">
        <v>43</v>
      </c>
      <c r="F64" s="1297" t="s">
        <v>1718</v>
      </c>
      <c r="AZ64" s="1344" t="s">
        <v>1364</v>
      </c>
      <c r="BE64" s="1344">
        <v>2062</v>
      </c>
    </row>
    <row customHeight="1" ht="11.25">
      <c r="A65" s="1297" t="s">
        <v>1731</v>
      </c>
      <c r="D65" s="1297"/>
      <c r="BE65" s="1344">
        <v>2063</v>
      </c>
    </row>
    <row customHeight="1" ht="11.25">
      <c r="A66" s="1297" t="s">
        <v>1732</v>
      </c>
      <c r="AZ66" s="1290" t="s">
        <v>1733</v>
      </c>
      <c r="BE66" s="1344">
        <v>2064</v>
      </c>
    </row>
    <row customHeight="1" ht="11.25">
      <c r="A67" s="1297" t="s">
        <v>1734</v>
      </c>
      <c r="AZ67" s="1344" t="s">
        <v>1249</v>
      </c>
      <c r="BE67" s="1344">
        <v>2065</v>
      </c>
    </row>
    <row customHeight="1" ht="11.25">
      <c r="A68" s="1297" t="s">
        <v>1735</v>
      </c>
      <c r="AZ68" s="1344" t="s">
        <v>1275</v>
      </c>
      <c r="BE68" s="1344">
        <v>2066</v>
      </c>
      <c r="BH68" s="1290" t="s">
        <v>1736</v>
      </c>
      <c r="BJ68" s="1290" t="s">
        <v>1737</v>
      </c>
      <c r="BL68" s="1290" t="s">
        <v>1738</v>
      </c>
      <c r="BN68" s="1290" t="s">
        <v>1739</v>
      </c>
    </row>
    <row customHeight="1" ht="11.25">
      <c r="A69" s="1297" t="s">
        <v>1740</v>
      </c>
      <c r="AZ69" s="1344" t="s">
        <v>1310</v>
      </c>
      <c r="BE69" s="1344">
        <v>2067</v>
      </c>
      <c r="BH69" s="1291" t="s">
        <v>1741</v>
      </c>
      <c r="BI69" s="1341" t="s">
        <v>168</v>
      </c>
      <c r="BJ69" s="1291" t="s">
        <v>1742</v>
      </c>
      <c r="BK69" s="1341" t="s">
        <v>168</v>
      </c>
      <c r="BL69" s="1291" t="s">
        <v>1743</v>
      </c>
      <c r="BN69" s="1291" t="s">
        <v>1744</v>
      </c>
    </row>
    <row customHeight="1" ht="11.25">
      <c r="A70" s="1297" t="s">
        <v>1745</v>
      </c>
      <c r="AZ70" s="1344" t="s">
        <v>1342</v>
      </c>
      <c r="BE70" s="1344">
        <v>2068</v>
      </c>
      <c r="BH70" s="1291" t="s">
        <v>1746</v>
      </c>
      <c r="BJ70" s="1291" t="s">
        <v>1747</v>
      </c>
      <c r="BL70" s="1291" t="s">
        <v>1748</v>
      </c>
      <c r="BN70" s="1291" t="s">
        <v>1749</v>
      </c>
    </row>
    <row customHeight="1" ht="11.25">
      <c r="A71" s="1297" t="s">
        <v>1750</v>
      </c>
      <c r="AZ71" s="1344" t="s">
        <v>1344</v>
      </c>
      <c r="BE71" s="1344">
        <v>2069</v>
      </c>
      <c r="BH71" s="1291" t="s">
        <v>1751</v>
      </c>
      <c r="BI71" s="1341" t="s">
        <v>86</v>
      </c>
      <c r="BJ71" s="1291" t="s">
        <v>1752</v>
      </c>
      <c r="BK71" s="1341" t="s">
        <v>86</v>
      </c>
      <c r="BL71" s="1291" t="s">
        <v>1753</v>
      </c>
      <c r="BN71" s="1291" t="s">
        <v>1754</v>
      </c>
    </row>
    <row customHeight="1" ht="11.25">
      <c r="A72" s="1297" t="s">
        <v>1755</v>
      </c>
      <c r="AZ72" s="1344" t="s">
        <v>53</v>
      </c>
      <c r="BE72" s="1344">
        <v>2070</v>
      </c>
      <c r="BH72" s="1291" t="s">
        <v>1756</v>
      </c>
      <c r="BJ72" s="1291" t="s">
        <v>1756</v>
      </c>
      <c r="BL72" s="1291" t="s">
        <v>1756</v>
      </c>
      <c r="BN72" s="1291" t="s">
        <v>1757</v>
      </c>
    </row>
    <row customHeight="1" ht="11.25">
      <c r="A73" s="1297" t="s">
        <v>1758</v>
      </c>
      <c r="BH73" s="1291" t="s">
        <v>1759</v>
      </c>
      <c r="BI73" s="1341" t="s">
        <v>113</v>
      </c>
      <c r="BJ73" s="1291" t="s">
        <v>1760</v>
      </c>
      <c r="BK73" s="1341" t="s">
        <v>113</v>
      </c>
      <c r="BL73" s="1291" t="s">
        <v>1761</v>
      </c>
      <c r="BN73" s="1291" t="s">
        <v>1762</v>
      </c>
    </row>
    <row customHeight="1" ht="11.25">
      <c r="A74" s="1297" t="s">
        <v>1763</v>
      </c>
      <c r="BH74" s="1291" t="s">
        <v>1764</v>
      </c>
      <c r="BJ74" s="1291" t="s">
        <v>1765</v>
      </c>
      <c r="BL74" s="1291" t="s">
        <v>1766</v>
      </c>
      <c r="BN74" s="1291" t="s">
        <v>1767</v>
      </c>
    </row>
    <row customHeight="1" ht="11.25">
      <c r="A75" s="1297" t="s">
        <v>1768</v>
      </c>
      <c r="AZ75" s="1290" t="s">
        <v>1769</v>
      </c>
      <c r="BH75" s="1291" t="s">
        <v>1770</v>
      </c>
      <c r="BJ75" s="1291" t="s">
        <v>1770</v>
      </c>
      <c r="BL75" s="1291" t="s">
        <v>1770</v>
      </c>
    </row>
    <row customHeight="1" ht="11.25">
      <c r="A76" s="1297" t="s">
        <v>1771</v>
      </c>
      <c r="AZ76" s="1344" t="s">
        <v>1258</v>
      </c>
      <c r="BH76" s="1291" t="s">
        <v>1772</v>
      </c>
      <c r="BJ76" s="1291" t="s">
        <v>1773</v>
      </c>
      <c r="BL76" s="1291" t="s">
        <v>1774</v>
      </c>
    </row>
    <row customHeight="1" ht="11.25">
      <c r="A77" s="1297" t="s">
        <v>1775</v>
      </c>
      <c r="AZ77" s="1344" t="s">
        <v>1285</v>
      </c>
    </row>
    <row customHeight="1" ht="11.25">
      <c r="A78" s="1297" t="s">
        <v>1776</v>
      </c>
      <c r="AZ78" s="1344" t="s">
        <v>1317</v>
      </c>
    </row>
    <row customHeight="1" ht="11.25">
      <c r="A79" s="1297" t="s">
        <v>1777</v>
      </c>
      <c r="AZ79" s="1344" t="s">
        <v>1348</v>
      </c>
      <c r="BH79" s="1290" t="s">
        <v>1778</v>
      </c>
      <c r="BJ79" s="1290" t="s">
        <v>1779</v>
      </c>
      <c r="BL79" s="1290" t="s">
        <v>1780</v>
      </c>
    </row>
    <row customHeight="1" ht="11.25">
      <c r="A80" s="1297" t="s">
        <v>1781</v>
      </c>
      <c r="AZ80" s="1344" t="s">
        <v>1369</v>
      </c>
      <c r="BH80" s="1291" t="s">
        <v>1782</v>
      </c>
      <c r="BJ80" s="1291" t="s">
        <v>1783</v>
      </c>
      <c r="BL80" s="1291" t="s">
        <v>1784</v>
      </c>
    </row>
    <row customHeight="1" ht="11.25">
      <c r="A81" s="1297" t="s">
        <v>1785</v>
      </c>
      <c r="AZ81" s="1344" t="s">
        <v>1386</v>
      </c>
      <c r="BH81" s="1291" t="s">
        <v>1786</v>
      </c>
      <c r="BJ81" s="1291" t="s">
        <v>1787</v>
      </c>
      <c r="BL81" s="1291" t="s">
        <v>1788</v>
      </c>
    </row>
    <row customHeight="1" ht="11.25">
      <c r="A82" s="1297" t="s">
        <v>1789</v>
      </c>
      <c r="AZ82" s="1344" t="s">
        <v>1401</v>
      </c>
      <c r="BH82" s="1291" t="s">
        <v>1790</v>
      </c>
      <c r="BJ82" s="1291" t="s">
        <v>1791</v>
      </c>
      <c r="BL82" s="1291" t="s">
        <v>1792</v>
      </c>
    </row>
    <row customHeight="1" ht="11.25">
      <c r="A83" s="1297" t="s">
        <v>1793</v>
      </c>
      <c r="BH83" s="1291" t="s">
        <v>1794</v>
      </c>
      <c r="BJ83" s="1291" t="s">
        <v>1795</v>
      </c>
      <c r="BL83" s="1291" t="s">
        <v>1796</v>
      </c>
    </row>
    <row customHeight="1" ht="11.25">
      <c r="A84" s="1297" t="s">
        <v>1797</v>
      </c>
      <c r="AZ84" s="1290" t="s">
        <v>1798</v>
      </c>
    </row>
    <row customHeight="1" ht="11.25">
      <c r="A85" s="2098" t="s">
        <v>1799</v>
      </c>
      <c r="AZ85" s="1344" t="s">
        <v>1800</v>
      </c>
    </row>
    <row customHeight="1" ht="11.25">
      <c r="A86" s="1297" t="s">
        <v>1801</v>
      </c>
      <c r="AZ86" s="1344" t="s">
        <v>1802</v>
      </c>
      <c r="BH86" s="1290" t="s">
        <v>1803</v>
      </c>
      <c r="BJ86" s="1290" t="s">
        <v>1804</v>
      </c>
      <c r="BL86" s="1290" t="s">
        <v>1805</v>
      </c>
    </row>
    <row customHeight="1" ht="11.25">
      <c r="A87" s="1297" t="s">
        <v>1806</v>
      </c>
      <c r="AZ87" s="1344" t="s">
        <v>1807</v>
      </c>
      <c r="BH87" s="1291" t="s">
        <v>1808</v>
      </c>
      <c r="BJ87" s="1291" t="s">
        <v>1809</v>
      </c>
      <c r="BL87" s="1291" t="s">
        <v>1810</v>
      </c>
    </row>
    <row customHeight="1" ht="11.25">
      <c r="A88" s="1297" t="s">
        <v>1811</v>
      </c>
      <c r="AZ88" s="1833"/>
      <c r="BH88" s="1291" t="s">
        <v>1812</v>
      </c>
      <c r="BJ88" s="1291" t="s">
        <v>1813</v>
      </c>
      <c r="BL88" s="1291" t="s">
        <v>1814</v>
      </c>
    </row>
    <row customHeight="1" ht="11.25">
      <c r="A89" s="1297" t="s">
        <v>1815</v>
      </c>
      <c r="AZ89" s="1290" t="s">
        <v>1816</v>
      </c>
    </row>
    <row customHeight="1" ht="11.25">
      <c r="A90" s="1297" t="s">
        <v>1817</v>
      </c>
      <c r="AZ90" s="1344" t="s">
        <v>1042</v>
      </c>
    </row>
    <row customHeight="1" ht="11.25">
      <c r="A91" s="1297" t="s">
        <v>1818</v>
      </c>
      <c r="AZ91" s="1344" t="s">
        <v>1078</v>
      </c>
      <c r="BH91" s="1290" t="s">
        <v>1819</v>
      </c>
      <c r="BJ91" s="1290" t="s">
        <v>1820</v>
      </c>
      <c r="BL91" s="1290" t="s">
        <v>1821</v>
      </c>
    </row>
    <row customHeight="1" ht="11.25">
      <c r="AZ92" s="1344" t="s">
        <v>1822</v>
      </c>
      <c r="BH92" s="1291" t="s">
        <v>1823</v>
      </c>
      <c r="BJ92" s="1291" t="s">
        <v>1824</v>
      </c>
      <c r="BL92" s="1291" t="s">
        <v>1825</v>
      </c>
    </row>
    <row customHeight="1" ht="11.25">
      <c r="AZ93" s="1344" t="s">
        <v>1826</v>
      </c>
      <c r="BH93" s="1291" t="s">
        <v>1827</v>
      </c>
      <c r="BJ93" s="1291" t="s">
        <v>1828</v>
      </c>
      <c r="BL93" s="1291" t="s">
        <v>1829</v>
      </c>
    </row>
    <row customHeight="1" ht="11.25">
      <c r="AZ94" s="1344" t="s">
        <v>1830</v>
      </c>
    </row>
    <row r="96" customHeight="1" ht="11.25">
      <c r="AZ96" s="1290" t="s">
        <v>1831</v>
      </c>
      <c r="BH96" s="1290" t="s">
        <v>1832</v>
      </c>
      <c r="BJ96" s="1290" t="s">
        <v>1833</v>
      </c>
      <c r="BL96" s="1290" t="s">
        <v>1834</v>
      </c>
      <c r="BN96" s="1290" t="s">
        <v>1835</v>
      </c>
    </row>
    <row customHeight="1" ht="11.25">
      <c r="AZ97" s="2129" t="s">
        <v>1836</v>
      </c>
      <c r="BA97" s="2130" t="s">
        <v>1837</v>
      </c>
      <c r="BH97" s="1291" t="s">
        <v>1838</v>
      </c>
      <c r="BJ97" s="1291" t="s">
        <v>1839</v>
      </c>
      <c r="BL97" s="1291" t="s">
        <v>1840</v>
      </c>
      <c r="BN97" s="1291" t="s">
        <v>1841</v>
      </c>
    </row>
    <row customHeight="1" ht="11.25">
      <c r="AZ98" s="2129" t="s">
        <v>1842</v>
      </c>
      <c r="BA98" s="2130" t="s">
        <v>1843</v>
      </c>
      <c r="BH98" s="1291" t="s">
        <v>1844</v>
      </c>
      <c r="BJ98" s="1291" t="s">
        <v>1845</v>
      </c>
      <c r="BL98" s="1291" t="s">
        <v>1846</v>
      </c>
      <c r="BN98" s="1291" t="s">
        <v>1847</v>
      </c>
    </row>
    <row customHeight="1" ht="22.5">
      <c r="AZ99" s="2129" t="s">
        <v>1848</v>
      </c>
      <c r="BA99" s="2130"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91" t="s">
        <v>1849</v>
      </c>
      <c r="BJ99" s="1291" t="s">
        <v>1850</v>
      </c>
      <c r="BL99" s="1291" t="s">
        <v>1851</v>
      </c>
      <c r="BN99" s="1291" t="s">
        <v>1852</v>
      </c>
    </row>
    <row customHeight="1" ht="22.5">
      <c r="AZ100" s="2129" t="s">
        <v>1853</v>
      </c>
      <c r="BA100" s="213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91" t="s">
        <v>1446</v>
      </c>
      <c r="BL100" s="1291" t="s">
        <v>1446</v>
      </c>
      <c r="BN100" s="1291" t="s">
        <v>1854</v>
      </c>
    </row>
    <row customHeight="1" ht="22.5">
      <c r="AZ101" s="2129" t="s">
        <v>1855</v>
      </c>
      <c r="BA101" s="2130" t="s">
        <v>1856</v>
      </c>
      <c r="BN101" s="1291" t="s">
        <v>1857</v>
      </c>
    </row>
    <row customHeight="1" ht="22.5">
      <c r="AZ102" s="2129" t="s">
        <v>1858</v>
      </c>
      <c r="BA102" s="213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91" t="s">
        <v>1859</v>
      </c>
    </row>
    <row customHeight="1" ht="11.25">
      <c r="AZ103" s="2129" t="s">
        <v>1860</v>
      </c>
      <c r="BA103" s="2130" t="s">
        <v>1861</v>
      </c>
      <c r="BN103" s="1291" t="s">
        <v>1862</v>
      </c>
    </row>
    <row customHeight="1" ht="11.25">
      <c r="BN104" s="1291" t="s">
        <v>1863</v>
      </c>
    </row>
    <row customHeight="1" ht="11.25">
      <c r="AZ105" s="1919" t="s">
        <v>1864</v>
      </c>
    </row>
    <row customHeight="1" ht="11.25">
      <c r="AZ106" s="1344" t="s">
        <v>1865</v>
      </c>
    </row>
    <row customHeight="1" ht="11.25">
      <c r="AZ107" s="1344" t="s">
        <v>1866</v>
      </c>
      <c r="BH107" s="1290" t="s">
        <v>1867</v>
      </c>
      <c r="BJ107" s="1290" t="s">
        <v>1868</v>
      </c>
      <c r="BL107" s="1290" t="s">
        <v>1869</v>
      </c>
      <c r="BN107" s="1290" t="s">
        <v>1870</v>
      </c>
    </row>
    <row customHeight="1" ht="11.25">
      <c r="AZ108" s="1344" t="s">
        <v>677</v>
      </c>
      <c r="BH108" s="1291" t="s">
        <v>1871</v>
      </c>
      <c r="BJ108" s="1291" t="s">
        <v>1872</v>
      </c>
      <c r="BL108" s="1291" t="s">
        <v>1531</v>
      </c>
      <c r="BN108" s="1291" t="s">
        <v>1873</v>
      </c>
    </row>
    <row customHeight="1" ht="11.25">
      <c r="BH109" s="1291" t="s">
        <v>1874</v>
      </c>
    </row>
    <row customHeight="1" ht="11.25">
      <c r="AZ110" s="1919" t="s">
        <v>1875</v>
      </c>
      <c r="BH110" s="1291" t="s">
        <v>1874</v>
      </c>
    </row>
    <row customHeight="1" ht="11.25">
      <c r="AZ111" s="2129" t="s">
        <v>1836</v>
      </c>
      <c r="BA111" s="2130" t="s">
        <v>1837</v>
      </c>
    </row>
    <row customHeight="1" ht="11.25">
      <c r="AZ112" s="2129" t="s">
        <v>1842</v>
      </c>
      <c r="BA112" s="2130" t="s">
        <v>1843</v>
      </c>
    </row>
    <row customHeight="1" ht="22.5">
      <c r="AZ113" s="2129" t="s">
        <v>1848</v>
      </c>
      <c r="BA113" s="2130"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29" t="s">
        <v>1853</v>
      </c>
      <c r="BA114" s="213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90" t="s">
        <v>1876</v>
      </c>
    </row>
    <row customHeight="1" ht="22.5">
      <c r="AZ115" s="2129" t="s">
        <v>1858</v>
      </c>
      <c r="BA115" s="213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91" t="s">
        <v>647</v>
      </c>
    </row>
    <row customHeight="1" ht="11.25">
      <c r="AZ116" s="2129" t="s">
        <v>1860</v>
      </c>
      <c r="BA116" s="2130" t="s">
        <v>1861</v>
      </c>
      <c r="BH116" s="1291" t="s">
        <v>1271</v>
      </c>
    </row>
    <row customHeight="1" ht="11.25">
      <c r="BH117" s="1291" t="s">
        <v>1306</v>
      </c>
    </row>
    <row customHeight="1" ht="11.25">
      <c r="BH118" s="1291" t="s">
        <v>1339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14D351-4C11-7AA9-0413-A80EB4E118A1}" mc:Ignorable="x14ac xr xr2 xr3">
  <dimension ref="A1:I24"/>
  <sheetViews>
    <sheetView topLeftCell="A1" showGridLines="0" zoomScale="90" workbookViewId="0">
      <selection activeCell="A1" sqref="A1"/>
    </sheetView>
  </sheetViews>
  <sheetFormatPr defaultColWidth="9.140625" customHeight="1" defaultRowHeight="11.25"/>
  <cols>
    <col min="1" max="2" style="16297" width="15.00390625" hidden="1" customWidth="1"/>
    <col min="3" max="3" style="16339" width="3.7109375" customWidth="1"/>
    <col min="4" max="4" style="16340" width="6.8515625" customWidth="1"/>
    <col min="5" max="5" style="16339" width="52.28125" customWidth="1"/>
    <col min="6" max="6" style="16339" width="48.8515625" customWidth="1"/>
    <col min="7" max="7" style="16339" width="93.421875" customWidth="1"/>
    <col min="8" max="8" style="16339" width="9.140625"/>
    <col min="9" max="9" style="16339" width="65.00390625" customWidth="1"/>
  </cols>
  <sheetData>
    <row customHeight="1" ht="11.25" hidden="1">
      <c r="A1" s="723" t="s">
        <v>405</v>
      </c>
    </row>
    <row customHeight="1" ht="22.5" hidden="1">
      <c r="A2" s="724"/>
      <c r="B2" s="724"/>
      <c r="C2" s="1957" t="s">
        <v>100</v>
      </c>
      <c r="D2" s="1747"/>
      <c r="E2" s="1753"/>
      <c r="F2" s="1776"/>
      <c r="H2" s="697"/>
    </row>
    <row customHeight="1" ht="11.25" hidden="1"/>
    <row customHeight="1" ht="11.25">
      <c r="A4" s="1777"/>
      <c r="B4" s="1777"/>
    </row>
    <row customHeight="1" ht="26.25">
      <c r="D5" s="237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73"/>
      <c r="F5" s="2374"/>
      <c r="I5" s="937"/>
    </row>
    <row customHeight="1" ht="17.25">
      <c r="D6" s="2335" t="str">
        <f>IF(region_name=0,"Не определено",region_name)</f>
        <v>Приморский край</v>
      </c>
      <c r="E6" s="2335"/>
      <c r="F6" s="2335"/>
      <c r="I6" s="937"/>
    </row>
    <row s="16256" customFormat="1" customHeight="1" ht="11.25">
      <c r="A7" s="723"/>
      <c r="B7" s="723"/>
      <c r="D7" s="936"/>
      <c r="E7" s="936"/>
      <c r="F7" s="974"/>
      <c r="G7" s="936"/>
    </row>
    <row customHeight="1" ht="11.25" hidden="1">
      <c r="A8" s="724"/>
      <c r="B8" s="724"/>
      <c r="C8" s="679"/>
      <c r="D8" s="685"/>
      <c r="E8" s="2341"/>
      <c r="F8" s="2341"/>
    </row>
    <row customHeight="1" ht="11.25">
      <c r="A9" s="724"/>
      <c r="B9" s="724"/>
      <c r="C9" s="679"/>
      <c r="D9" s="2338" t="s">
        <v>406</v>
      </c>
      <c r="E9" s="2339"/>
      <c r="F9" s="2339"/>
      <c r="G9" s="2342" t="s">
        <v>407</v>
      </c>
    </row>
    <row customHeight="1" ht="11.25">
      <c r="A10" s="724"/>
      <c r="B10" s="724"/>
      <c r="C10" s="679"/>
      <c r="D10" s="1701" t="s">
        <v>84</v>
      </c>
      <c r="E10" s="1703" t="s">
        <v>408</v>
      </c>
      <c r="F10" s="1703" t="s">
        <v>409</v>
      </c>
      <c r="G10" s="2343"/>
    </row>
    <row customHeight="1" ht="0.75">
      <c r="A11" s="724"/>
      <c r="B11" s="724"/>
      <c r="C11" s="679"/>
      <c r="D11" s="686"/>
      <c r="E11" s="686"/>
      <c r="F11" s="686"/>
      <c r="G11" s="686"/>
    </row>
    <row customHeight="1" ht="22.5">
      <c r="A12" s="724"/>
      <c r="B12" s="724"/>
      <c r="C12" s="679"/>
      <c r="D12" s="1747">
        <v>1</v>
      </c>
      <c r="E12" s="69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136" t="str">
        <f>IF(org="","",org)</f>
        <v>КГУП "Примтеплоэнерго"</v>
      </c>
      <c r="G12" s="69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60"/>
    </row>
    <row customHeight="1" ht="18.75">
      <c r="A13" s="724"/>
      <c r="B13" s="724"/>
      <c r="C13" s="679"/>
      <c r="D13" s="1747">
        <v>2</v>
      </c>
      <c r="E13" s="1754" t="s">
        <v>1877</v>
      </c>
      <c r="F13" s="1748" t="s">
        <v>412</v>
      </c>
      <c r="G13" s="696"/>
      <c r="H13" s="1760"/>
    </row>
    <row customHeight="1" ht="18.75">
      <c r="A14" s="724"/>
      <c r="B14" s="724"/>
      <c r="C14" s="679"/>
      <c r="D14" s="1750" t="s">
        <v>728</v>
      </c>
      <c r="E14" s="1751" t="s">
        <v>1878</v>
      </c>
      <c r="F14" s="1753"/>
      <c r="G14" s="1752" t="s">
        <v>1879</v>
      </c>
      <c r="H14" s="1760"/>
    </row>
    <row customHeight="1" ht="18.75">
      <c r="A15" s="724"/>
      <c r="B15" s="724"/>
      <c r="C15" s="679"/>
      <c r="D15" s="1750" t="s">
        <v>413</v>
      </c>
      <c r="E15" s="1751" t="s">
        <v>1880</v>
      </c>
      <c r="F15" s="1753"/>
      <c r="G15" s="1752" t="s">
        <v>1881</v>
      </c>
      <c r="H15" s="1760"/>
    </row>
    <row customHeight="1" ht="22.5">
      <c r="A16" s="724"/>
      <c r="B16" s="724"/>
      <c r="C16" s="679"/>
      <c r="D16" s="1750" t="s">
        <v>416</v>
      </c>
      <c r="E16" s="1749" t="s">
        <v>1882</v>
      </c>
      <c r="F16" s="1758"/>
      <c r="G16" s="696" t="s">
        <v>1883</v>
      </c>
      <c r="H16" s="1760"/>
    </row>
    <row customHeight="1" ht="45">
      <c r="A17" s="724"/>
      <c r="B17" s="724"/>
      <c r="C17" s="679"/>
      <c r="D17" s="1747">
        <v>3</v>
      </c>
      <c r="E17" s="1754" t="s">
        <v>1884</v>
      </c>
      <c r="F17" s="1753"/>
      <c r="G17" s="696" t="s">
        <v>1885</v>
      </c>
      <c r="H17" s="1760"/>
    </row>
    <row customHeight="1" ht="45">
      <c r="A18" s="1702">
        <v>1</v>
      </c>
      <c r="B18" s="724"/>
      <c r="C18" s="1704"/>
      <c r="D18" s="1747" t="s">
        <v>87</v>
      </c>
      <c r="E18" s="1754" t="s">
        <v>1886</v>
      </c>
      <c r="F18" s="1753"/>
      <c r="G18" s="696" t="s">
        <v>1885</v>
      </c>
      <c r="H18" s="1760"/>
      <c r="I18" s="1074"/>
    </row>
    <row customHeight="1" ht="22.5">
      <c r="A19" s="724"/>
      <c r="B19" s="724"/>
      <c r="C19" s="679"/>
      <c r="D19" s="1747" t="s">
        <v>113</v>
      </c>
      <c r="E19" s="1754" t="s">
        <v>1887</v>
      </c>
      <c r="F19" s="1748" t="s">
        <v>412</v>
      </c>
      <c r="G19" s="2598" t="s">
        <v>1888</v>
      </c>
      <c r="H19" s="697"/>
    </row>
    <row s="22498" customFormat="1" customHeight="1" ht="5.25" hidden="1">
      <c r="A20" s="724"/>
      <c r="B20" s="724"/>
      <c r="C20" s="1756"/>
      <c r="D20" s="1755" t="s">
        <v>1139</v>
      </c>
      <c r="E20" s="1237"/>
      <c r="F20" s="1236"/>
      <c r="G20" s="2599"/>
    </row>
    <row customHeight="1" ht="15">
      <c r="A21" s="724"/>
      <c r="B21" s="724"/>
      <c r="C21" s="679"/>
      <c r="D21" s="689"/>
      <c r="E21" s="637" t="s">
        <v>445</v>
      </c>
      <c r="F21" s="691"/>
      <c r="G21" s="2600"/>
      <c r="H21" s="1760"/>
    </row>
    <row s="16297" customFormat="1" customHeight="1" ht="24.75">
      <c r="A22" s="724"/>
      <c r="B22" s="724"/>
      <c r="C22" s="724"/>
      <c r="D22" s="1747" t="s">
        <v>88</v>
      </c>
      <c r="E22" s="696" t="s">
        <v>1889</v>
      </c>
      <c r="F22" s="1753"/>
      <c r="G22" s="696" t="s">
        <v>1890</v>
      </c>
      <c r="H22" s="1759"/>
    </row>
    <row s="16297" customFormat="1" customHeight="1" ht="18.75">
      <c r="A23" s="724"/>
      <c r="B23" s="724"/>
      <c r="C23" s="724"/>
      <c r="D23" s="1747" t="s">
        <v>89</v>
      </c>
      <c r="E23" s="1754" t="s">
        <v>1891</v>
      </c>
      <c r="F23" s="1758"/>
      <c r="G23" s="696" t="s">
        <v>1892</v>
      </c>
      <c r="H23" s="1759"/>
    </row>
    <row s="16297" customFormat="1" customHeight="1" ht="144" hidden="1">
      <c r="A24" s="724"/>
      <c r="B24" s="724"/>
      <c r="C24" s="724"/>
      <c r="D24" s="1747" t="s">
        <v>126</v>
      </c>
      <c r="E24" s="2125"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126"/>
      <c r="G24" s="2124"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59"/>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D9E77A-C844-81C7-50E1-52BF1BA17209}" mc:Ignorable="x14ac xr xr2 xr3">
  <dimension ref="A1:IT23"/>
  <sheetViews>
    <sheetView topLeftCell="A1" showGridLines="0" zoomScale="90" workbookViewId="0">
      <selection activeCell="A1" sqref="A1"/>
    </sheetView>
  </sheetViews>
  <sheetFormatPr defaultColWidth="9.140625" customHeight="1" defaultRowHeight="14.25"/>
  <cols>
    <col min="1" max="1" style="16635" width="9.140625" hidden="1"/>
    <col min="2" max="2" style="16550" width="9.140625" hidden="1"/>
    <col min="3" max="3" style="16635" width="3.7109375" hidden="1" customWidth="1"/>
    <col min="4" max="4" style="16405" width="3.8515625" customWidth="1"/>
    <col min="5" max="5" style="16635" width="6.28125" customWidth="1"/>
    <col min="6" max="6" style="16635" width="46.7109375" customWidth="1"/>
    <col min="7" max="8" style="16635" width="16.7109375" customWidth="1"/>
    <col min="9" max="9" style="16635" width="35.28125" customWidth="1"/>
    <col min="10" max="10" style="16635" width="89.57421875" customWidth="1"/>
    <col min="11" max="11" style="22523" width="3.7109375" customWidth="1"/>
    <col min="12" max="14" style="22523" width="9.140625"/>
    <col min="15" max="15" style="15866" width="25.7109375" customWidth="1"/>
    <col min="16" max="16" style="22523" width="14.421875" customWidth="1"/>
    <col min="17" max="20" style="15867" width="9.140625"/>
    <col min="21" max="254" style="16635" width="9.140625"/>
  </cols>
  <sheetData>
    <row customHeight="1" ht="14.25" hidden="1"/>
    <row s="15824" customFormat="1" customHeight="1" ht="22.5" hidden="1">
      <c r="A2" s="1053"/>
      <c r="B2" s="1384">
        <v>1</v>
      </c>
      <c r="C2" s="1384"/>
      <c r="D2" s="2153" t="s">
        <v>100</v>
      </c>
      <c r="E2" s="1711"/>
      <c r="F2" s="1718"/>
      <c r="G2" s="1718"/>
      <c r="H2" s="1718"/>
      <c r="I2" s="1765"/>
      <c r="J2" s="450"/>
      <c r="K2" s="1762"/>
      <c r="L2" s="733"/>
      <c r="M2" s="733"/>
      <c r="N2" s="722" t="str">
        <f t="array" ref="N2:N2">IF(ISERROR(MATCH(MID(O2,1,250),MID(note_ter,1,250),0)),"n","y")</f>
        <v>n</v>
      </c>
      <c r="O2" s="733"/>
      <c r="P2" s="722" t="str">
        <f>G2&amp;"("&amp;J2&amp;")"</f>
        <v>()</v>
      </c>
      <c r="Q2" s="1384"/>
      <c r="R2" s="1384"/>
      <c r="S2" s="642"/>
      <c r="T2" s="1384"/>
      <c r="U2" s="1384"/>
      <c r="V2" s="1384"/>
      <c r="W2" s="644"/>
      <c r="X2" s="644"/>
      <c r="Y2" s="641"/>
      <c r="Z2" s="641"/>
      <c r="AA2" s="641"/>
      <c r="AB2" s="641"/>
      <c r="AC2" s="641"/>
      <c r="AD2" s="641"/>
      <c r="AE2" s="641"/>
      <c r="AF2" s="641"/>
      <c r="AG2" s="641"/>
      <c r="AH2" s="641"/>
      <c r="AI2" s="641"/>
      <c r="AJ2" s="641"/>
      <c r="AK2" s="641"/>
      <c r="AL2" s="641"/>
      <c r="AM2" s="641"/>
      <c r="AN2" s="641"/>
      <c r="AO2" s="641"/>
      <c r="AP2" s="641"/>
      <c r="AQ2" s="641"/>
      <c r="AR2" s="641"/>
      <c r="AS2" s="641"/>
      <c r="AT2" s="641"/>
      <c r="AU2" s="641"/>
      <c r="AV2" s="641"/>
      <c r="AW2" s="641"/>
      <c r="AX2" s="641"/>
      <c r="AY2" s="641"/>
      <c r="AZ2" s="641"/>
      <c r="BA2" s="641"/>
      <c r="BB2" s="641"/>
      <c r="BC2" s="641"/>
      <c r="BD2" s="641"/>
      <c r="BE2" s="641"/>
      <c r="BF2" s="641"/>
      <c r="BG2" s="641"/>
      <c r="BH2" s="641"/>
      <c r="BI2" s="641"/>
      <c r="BJ2" s="641"/>
      <c r="BK2" s="641"/>
      <c r="BL2" s="641"/>
      <c r="BM2" s="641"/>
      <c r="BN2" s="641"/>
      <c r="BO2" s="641"/>
      <c r="BP2" s="641"/>
      <c r="BQ2" s="641"/>
      <c r="BR2" s="641"/>
      <c r="BS2" s="641"/>
      <c r="BT2" s="644"/>
      <c r="BU2" s="644"/>
      <c r="BV2" s="644"/>
      <c r="BW2" s="644"/>
      <c r="BX2" s="644"/>
      <c r="BY2" s="644"/>
      <c r="BZ2" s="644"/>
      <c r="CA2" s="644"/>
      <c r="CB2" s="644"/>
      <c r="CC2" s="644"/>
    </row>
    <row s="16622" customFormat="1" customHeight="1" ht="5.25" hidden="1">
      <c r="A3" s="718"/>
      <c r="D3" s="716"/>
      <c r="F3" s="469" t="s">
        <v>79</v>
      </c>
      <c r="G3" s="716" t="s">
        <v>80</v>
      </c>
      <c r="H3" s="716"/>
      <c r="I3" s="716"/>
      <c r="J3" s="449" t="s">
        <v>81</v>
      </c>
      <c r="K3" s="469" t="s">
        <v>79</v>
      </c>
      <c r="L3" s="469"/>
      <c r="M3" s="469"/>
      <c r="N3" s="469"/>
      <c r="O3" s="470"/>
      <c r="P3" s="469"/>
      <c r="Q3" s="469"/>
      <c r="R3" s="469"/>
      <c r="S3" s="469"/>
      <c r="T3" s="46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449"/>
      <c r="BF3" s="449"/>
      <c r="BG3" s="449"/>
      <c r="BH3" s="449"/>
      <c r="BI3" s="449"/>
      <c r="BJ3" s="449"/>
      <c r="BK3" s="449"/>
      <c r="BL3" s="449"/>
      <c r="BM3" s="449"/>
      <c r="BN3" s="449"/>
      <c r="BO3" s="449"/>
      <c r="BP3" s="449"/>
      <c r="BQ3" s="449"/>
      <c r="BR3" s="449"/>
      <c r="BS3" s="449"/>
      <c r="BT3" s="449"/>
      <c r="BU3" s="449"/>
      <c r="BV3" s="449"/>
      <c r="BW3" s="449"/>
      <c r="BX3" s="449"/>
      <c r="BY3" s="449"/>
      <c r="BZ3" s="449"/>
      <c r="CA3" s="449"/>
      <c r="CB3" s="449"/>
      <c r="CC3" s="449"/>
      <c r="CD3" s="449"/>
      <c r="CE3" s="449"/>
      <c r="CF3" s="449"/>
      <c r="CG3" s="449"/>
      <c r="CH3" s="449"/>
      <c r="CI3" s="449"/>
      <c r="CJ3" s="449"/>
      <c r="CK3" s="449"/>
      <c r="CL3" s="449"/>
      <c r="CM3" s="449"/>
      <c r="CN3" s="449"/>
      <c r="CO3" s="449"/>
      <c r="CP3" s="449"/>
      <c r="CQ3" s="449"/>
      <c r="CR3" s="449"/>
      <c r="CS3" s="449"/>
      <c r="CT3" s="449"/>
      <c r="CU3" s="449"/>
      <c r="CV3" s="449"/>
      <c r="CW3" s="449"/>
      <c r="CX3" s="449"/>
      <c r="CY3" s="449"/>
      <c r="CZ3" s="449"/>
      <c r="DA3" s="449"/>
      <c r="DB3" s="449"/>
      <c r="DC3" s="449"/>
      <c r="DD3" s="449"/>
      <c r="DE3" s="449"/>
      <c r="DF3" s="449"/>
      <c r="DG3" s="449"/>
      <c r="DH3" s="449"/>
      <c r="DI3" s="449"/>
      <c r="DJ3" s="449"/>
      <c r="DK3" s="449"/>
      <c r="DL3" s="449"/>
      <c r="DM3" s="449"/>
      <c r="DN3" s="449"/>
      <c r="DO3" s="449"/>
      <c r="DP3" s="449"/>
      <c r="DQ3" s="449"/>
      <c r="DR3" s="449"/>
      <c r="DS3" s="449"/>
      <c r="DT3" s="449"/>
      <c r="DU3" s="449"/>
      <c r="DV3" s="449"/>
      <c r="DW3" s="449"/>
      <c r="DX3" s="449"/>
      <c r="DY3" s="449"/>
      <c r="DZ3" s="449"/>
      <c r="EA3" s="449"/>
      <c r="EB3" s="449"/>
      <c r="EC3" s="449"/>
      <c r="ED3" s="449"/>
      <c r="EE3" s="449"/>
      <c r="EF3" s="449"/>
      <c r="EG3" s="449"/>
      <c r="EH3" s="449"/>
      <c r="EI3" s="449"/>
      <c r="EJ3" s="449"/>
      <c r="EK3" s="449"/>
      <c r="EL3" s="449"/>
      <c r="EM3" s="449"/>
      <c r="EN3" s="449"/>
      <c r="EO3" s="449"/>
      <c r="EP3" s="449"/>
      <c r="EQ3" s="449"/>
      <c r="ER3" s="449"/>
      <c r="ES3" s="449"/>
      <c r="ET3" s="449"/>
      <c r="EU3" s="449"/>
      <c r="EV3" s="449"/>
      <c r="EW3" s="449"/>
      <c r="EX3" s="449"/>
      <c r="EY3" s="449"/>
      <c r="EZ3" s="449"/>
      <c r="FA3" s="449"/>
      <c r="FB3" s="449"/>
      <c r="FC3" s="449"/>
      <c r="FD3" s="449"/>
      <c r="FE3" s="449"/>
      <c r="FF3" s="449"/>
      <c r="FG3" s="449"/>
      <c r="FH3" s="449"/>
      <c r="FI3" s="449"/>
      <c r="FJ3" s="449"/>
      <c r="FK3" s="449"/>
      <c r="FL3" s="449"/>
      <c r="FM3" s="449"/>
      <c r="FN3" s="449"/>
      <c r="FO3" s="449"/>
      <c r="FP3" s="449"/>
      <c r="FQ3" s="449"/>
      <c r="FR3" s="449"/>
      <c r="FS3" s="449"/>
      <c r="FT3" s="449"/>
      <c r="FU3" s="449"/>
      <c r="FV3" s="449"/>
      <c r="FW3" s="449"/>
      <c r="FX3" s="449"/>
      <c r="FY3" s="449"/>
      <c r="FZ3" s="449"/>
      <c r="GA3" s="449"/>
      <c r="GB3" s="449"/>
      <c r="GC3" s="449"/>
      <c r="GD3" s="449"/>
      <c r="GE3" s="449"/>
      <c r="GF3" s="449"/>
      <c r="GG3" s="449"/>
      <c r="GH3" s="449"/>
      <c r="GI3" s="449"/>
      <c r="GJ3" s="449"/>
      <c r="GK3" s="449"/>
      <c r="GL3" s="449"/>
      <c r="GM3" s="449"/>
      <c r="GN3" s="449"/>
      <c r="GO3" s="449"/>
      <c r="GP3" s="449"/>
      <c r="GQ3" s="449"/>
      <c r="GR3" s="449"/>
      <c r="GS3" s="449"/>
      <c r="GT3" s="449"/>
      <c r="GU3" s="449"/>
      <c r="GV3" s="449"/>
      <c r="GW3" s="449"/>
      <c r="GX3" s="449"/>
      <c r="GY3" s="449"/>
      <c r="GZ3" s="449"/>
      <c r="HA3" s="449"/>
      <c r="HB3" s="449"/>
      <c r="HC3" s="449"/>
      <c r="HD3" s="449"/>
      <c r="HE3" s="449"/>
      <c r="HF3" s="449"/>
      <c r="HG3" s="449"/>
      <c r="HH3" s="449"/>
      <c r="HI3" s="449"/>
      <c r="HJ3" s="449"/>
      <c r="HK3" s="449"/>
      <c r="HL3" s="449"/>
      <c r="HM3" s="449"/>
      <c r="HN3" s="449"/>
      <c r="HO3" s="449"/>
      <c r="HP3" s="449"/>
      <c r="HQ3" s="449"/>
      <c r="HR3" s="449"/>
      <c r="HS3" s="449"/>
      <c r="HT3" s="449"/>
      <c r="HU3" s="449"/>
      <c r="HV3" s="449"/>
      <c r="HW3" s="449"/>
      <c r="HX3" s="449"/>
      <c r="HY3" s="449"/>
      <c r="HZ3" s="449"/>
      <c r="IA3" s="449"/>
      <c r="IB3" s="449"/>
      <c r="IC3" s="449"/>
      <c r="ID3" s="449"/>
      <c r="IE3" s="449"/>
      <c r="IF3" s="449"/>
      <c r="IG3" s="449"/>
      <c r="IH3" s="449"/>
      <c r="II3" s="449"/>
      <c r="IJ3" s="449"/>
      <c r="IK3" s="449"/>
      <c r="IL3" s="449"/>
      <c r="IM3" s="449"/>
      <c r="IN3" s="449"/>
      <c r="IO3" s="449"/>
      <c r="IP3" s="449"/>
      <c r="IQ3" s="449"/>
      <c r="IR3" s="449"/>
      <c r="IS3" s="449"/>
      <c r="IT3" s="449"/>
    </row>
    <row s="15815" customFormat="1" customHeight="1" ht="14.25">
      <c r="A4" s="1379"/>
      <c r="B4" s="1384"/>
      <c r="C4" s="1379"/>
      <c r="D4" s="1722"/>
      <c r="E4" s="731"/>
      <c r="F4" s="731"/>
      <c r="G4" s="731"/>
      <c r="H4" s="731"/>
      <c r="I4" s="731"/>
      <c r="J4" s="389"/>
      <c r="K4" s="469"/>
      <c r="L4" s="722"/>
      <c r="M4" s="722"/>
      <c r="N4" s="722"/>
      <c r="O4" s="448"/>
      <c r="P4" s="722"/>
      <c r="Q4" s="447"/>
      <c r="R4" s="447"/>
      <c r="S4" s="447"/>
      <c r="T4" s="447"/>
    </row>
    <row s="15815" customFormat="1" customHeight="1" ht="25.5">
      <c r="A5" s="1379"/>
      <c r="B5" s="1384"/>
      <c r="C5" s="1379"/>
      <c r="D5" s="1722"/>
      <c r="E5" s="223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36"/>
      <c r="G5" s="2236"/>
      <c r="H5" s="2236"/>
      <c r="I5" s="2236"/>
      <c r="J5" s="2236"/>
      <c r="K5" s="469"/>
      <c r="L5" s="722"/>
      <c r="M5" s="722"/>
      <c r="N5" s="722"/>
      <c r="O5" s="448"/>
      <c r="P5" s="722"/>
      <c r="Q5" s="447"/>
      <c r="R5" s="447"/>
      <c r="S5" s="447"/>
      <c r="T5" s="447"/>
    </row>
    <row s="15815" customFormat="1" customHeight="1" ht="14.25">
      <c r="A6" s="1379"/>
      <c r="B6" s="1384"/>
      <c r="C6" s="1379"/>
      <c r="D6" s="1722"/>
      <c r="E6" s="731"/>
      <c r="F6" s="390"/>
      <c r="G6" s="390"/>
      <c r="H6" s="390"/>
      <c r="I6" s="390"/>
      <c r="J6" s="391"/>
      <c r="K6" s="722"/>
      <c r="L6" s="722"/>
      <c r="M6" s="722"/>
      <c r="N6" s="722"/>
      <c r="O6" s="448"/>
      <c r="P6" s="722"/>
      <c r="Q6" s="447"/>
      <c r="R6" s="447"/>
      <c r="S6" s="447"/>
      <c r="T6" s="447"/>
    </row>
    <row s="15815" customFormat="1" customHeight="1" ht="14.25">
      <c r="A7" s="1379"/>
      <c r="B7" s="1384"/>
      <c r="C7" s="1379"/>
      <c r="D7" s="1722"/>
      <c r="E7" s="2237" t="s">
        <v>406</v>
      </c>
      <c r="F7" s="2238"/>
      <c r="G7" s="2238"/>
      <c r="H7" s="2238"/>
      <c r="I7" s="2238"/>
      <c r="J7" s="2601" t="s">
        <v>407</v>
      </c>
      <c r="K7" s="722"/>
      <c r="L7" s="722"/>
      <c r="M7" s="722"/>
      <c r="N7" s="722"/>
      <c r="O7" s="448"/>
      <c r="P7" s="722"/>
      <c r="Q7" s="447"/>
      <c r="R7" s="447"/>
      <c r="S7" s="447"/>
      <c r="T7" s="447"/>
    </row>
    <row s="15815" customFormat="1" customHeight="1" ht="20.25">
      <c r="A8" s="1379"/>
      <c r="B8" s="1384"/>
      <c r="C8" s="1379"/>
      <c r="D8" s="1722"/>
      <c r="E8" s="1775" t="s">
        <v>84</v>
      </c>
      <c r="F8" s="1767" t="s">
        <v>1893</v>
      </c>
      <c r="G8" s="1767" t="s">
        <v>45</v>
      </c>
      <c r="H8" s="1767" t="s">
        <v>47</v>
      </c>
      <c r="I8" s="1767" t="s">
        <v>1894</v>
      </c>
      <c r="J8" s="2602"/>
      <c r="K8" s="722"/>
      <c r="L8" s="722"/>
      <c r="M8" s="722"/>
      <c r="N8" s="722"/>
      <c r="O8" s="448"/>
      <c r="P8" s="722"/>
      <c r="Q8" s="447"/>
      <c r="R8" s="447"/>
      <c r="S8" s="447"/>
      <c r="T8" s="447"/>
    </row>
    <row s="15824" customFormat="1" customHeight="1" ht="22.5">
      <c r="A9" s="2235"/>
      <c r="B9" s="1384">
        <v>1</v>
      </c>
      <c r="C9" s="1384"/>
      <c r="D9" s="1023"/>
      <c r="E9" s="1711">
        <v>1</v>
      </c>
      <c r="F9" s="1774"/>
      <c r="G9" s="1718"/>
      <c r="H9" s="1718"/>
      <c r="I9" s="1765"/>
      <c r="J9" s="229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62"/>
      <c r="L9" s="733"/>
      <c r="M9" s="733"/>
      <c r="N9" s="722" t="str">
        <f t="array" ref="N9:N9">IF(ISERROR(MATCH(MID(O9,1,250),MID(note_ter,1,250),0)),"n","y")</f>
        <v>n</v>
      </c>
      <c r="O9" s="733"/>
      <c r="P9" s="72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84"/>
      <c r="R9" s="1384"/>
      <c r="S9" s="642"/>
      <c r="T9" s="1384"/>
      <c r="U9" s="1384"/>
      <c r="V9" s="1384"/>
      <c r="W9" s="644"/>
      <c r="X9" s="644"/>
      <c r="Y9" s="641"/>
      <c r="Z9" s="641"/>
      <c r="AA9" s="641"/>
      <c r="AB9" s="641"/>
      <c r="AC9" s="641"/>
      <c r="AD9" s="641"/>
      <c r="AE9" s="641"/>
      <c r="AF9" s="641"/>
      <c r="AG9" s="641"/>
      <c r="AH9" s="641"/>
      <c r="AI9" s="641"/>
      <c r="AJ9" s="641"/>
      <c r="AK9" s="641"/>
      <c r="AL9" s="641"/>
      <c r="AM9" s="641"/>
      <c r="AN9" s="641"/>
      <c r="AO9" s="641"/>
      <c r="AP9" s="641"/>
      <c r="AQ9" s="641"/>
      <c r="AR9" s="641"/>
      <c r="AS9" s="641"/>
      <c r="AT9" s="641"/>
      <c r="AU9" s="641"/>
      <c r="AV9" s="641"/>
      <c r="AW9" s="641"/>
      <c r="AX9" s="641"/>
      <c r="AY9" s="641"/>
      <c r="AZ9" s="641"/>
      <c r="BA9" s="641"/>
      <c r="BB9" s="641"/>
      <c r="BC9" s="641"/>
      <c r="BD9" s="641"/>
      <c r="BE9" s="641"/>
      <c r="BF9" s="641"/>
      <c r="BG9" s="641"/>
      <c r="BH9" s="641"/>
      <c r="BI9" s="641"/>
      <c r="BJ9" s="641"/>
      <c r="BK9" s="641"/>
      <c r="BL9" s="641"/>
      <c r="BM9" s="641"/>
      <c r="BN9" s="641"/>
      <c r="BO9" s="641"/>
      <c r="BP9" s="641"/>
      <c r="BQ9" s="641"/>
      <c r="BR9" s="641"/>
      <c r="BS9" s="641"/>
      <c r="BT9" s="644"/>
      <c r="BU9" s="644"/>
      <c r="BV9" s="644"/>
      <c r="BW9" s="644"/>
      <c r="BX9" s="644"/>
      <c r="BY9" s="644"/>
      <c r="BZ9" s="644"/>
      <c r="CA9" s="644"/>
      <c r="CB9" s="644"/>
      <c r="CC9" s="644"/>
    </row>
    <row s="15824" customFormat="1" customHeight="1" ht="15">
      <c r="A10" s="2235"/>
      <c r="B10" s="1384"/>
      <c r="C10" s="634"/>
      <c r="D10" s="1023"/>
      <c r="E10" s="1768"/>
      <c r="F10" s="1727" t="s">
        <v>1895</v>
      </c>
      <c r="G10" s="1769"/>
      <c r="H10" s="1769"/>
      <c r="I10" s="2127"/>
      <c r="J10" s="2299"/>
      <c r="K10" s="1763"/>
      <c r="L10" s="733"/>
      <c r="M10" s="733"/>
      <c r="N10" s="733"/>
      <c r="O10" s="722"/>
      <c r="P10" s="733"/>
      <c r="Q10" s="1384"/>
      <c r="R10" s="1384"/>
      <c r="S10" s="642"/>
      <c r="T10" s="1384"/>
      <c r="U10" s="1384"/>
      <c r="V10" s="1384"/>
      <c r="W10" s="644"/>
      <c r="X10" s="644"/>
      <c r="Y10" s="641"/>
      <c r="Z10" s="641"/>
      <c r="AA10" s="641"/>
      <c r="AB10" s="641"/>
      <c r="AC10" s="641"/>
      <c r="AD10" s="641"/>
      <c r="AE10" s="641"/>
      <c r="AF10" s="641"/>
      <c r="AG10" s="641"/>
      <c r="AH10" s="641"/>
      <c r="AI10" s="641"/>
      <c r="AJ10" s="641"/>
      <c r="AK10" s="641"/>
      <c r="AL10" s="641"/>
      <c r="AM10" s="641"/>
      <c r="AN10" s="641"/>
      <c r="AO10" s="641"/>
      <c r="AP10" s="641"/>
      <c r="AQ10" s="641"/>
      <c r="AR10" s="641"/>
      <c r="AS10" s="641"/>
      <c r="AT10" s="641"/>
      <c r="AU10" s="641"/>
      <c r="AV10" s="641"/>
      <c r="AW10" s="641"/>
      <c r="AX10" s="641"/>
      <c r="AY10" s="641"/>
      <c r="AZ10" s="641"/>
      <c r="BA10" s="641"/>
      <c r="BB10" s="641"/>
      <c r="BC10" s="641"/>
      <c r="BD10" s="641"/>
      <c r="BE10" s="641"/>
      <c r="BF10" s="641"/>
      <c r="BG10" s="641"/>
      <c r="BH10" s="641"/>
      <c r="BI10" s="641"/>
      <c r="BJ10" s="641"/>
      <c r="BK10" s="641"/>
      <c r="BL10" s="641"/>
      <c r="BM10" s="641"/>
      <c r="BN10" s="641"/>
      <c r="BO10" s="641"/>
      <c r="BP10" s="641"/>
      <c r="BQ10" s="641"/>
      <c r="BR10" s="641"/>
      <c r="BS10" s="641"/>
      <c r="BT10" s="644"/>
      <c r="BU10" s="644"/>
      <c r="BV10" s="644"/>
      <c r="BW10" s="644"/>
      <c r="BX10" s="644"/>
      <c r="BY10" s="644"/>
      <c r="BZ10" s="644"/>
      <c r="CA10" s="644"/>
      <c r="CB10" s="644"/>
      <c r="CC10" s="644"/>
    </row>
    <row s="15815" customFormat="1" customHeight="1" ht="21">
      <c r="A11" s="1379"/>
      <c r="B11" s="1384"/>
      <c r="C11" s="1379"/>
      <c r="D11" s="673"/>
      <c r="E11" s="403"/>
      <c r="F11" s="403"/>
      <c r="G11" s="403"/>
      <c r="H11" s="403"/>
      <c r="I11" s="403"/>
      <c r="J11" s="403"/>
      <c r="K11" s="722"/>
      <c r="L11" s="722"/>
      <c r="M11" s="722"/>
      <c r="N11" s="722"/>
      <c r="O11" s="448"/>
      <c r="P11" s="722"/>
      <c r="Q11" s="447"/>
      <c r="R11" s="447"/>
      <c r="S11" s="447"/>
      <c r="T11" s="447"/>
    </row>
    <row s="15815" customFormat="1" customHeight="1" ht="14.25">
      <c r="A12" s="1379"/>
      <c r="B12" s="1384"/>
      <c r="C12" s="1379"/>
      <c r="D12" s="673"/>
      <c r="E12" s="1379"/>
      <c r="F12" s="1379"/>
      <c r="G12" s="1379"/>
      <c r="H12" s="1379"/>
      <c r="I12" s="1379"/>
      <c r="J12" s="1379"/>
      <c r="K12" s="722"/>
      <c r="L12" s="722"/>
      <c r="M12" s="722"/>
      <c r="N12" s="722"/>
      <c r="O12" s="448"/>
      <c r="P12" s="722"/>
      <c r="Q12" s="447"/>
      <c r="R12" s="447"/>
      <c r="S12" s="447"/>
      <c r="T12" s="447"/>
    </row>
    <row s="15815" customFormat="1" customHeight="1" ht="0.75">
      <c r="A13" s="1379"/>
      <c r="B13" s="1384"/>
      <c r="C13" s="1379"/>
      <c r="D13" s="673"/>
      <c r="E13" s="1379"/>
      <c r="F13" s="1379"/>
      <c r="G13" s="1379"/>
      <c r="H13" s="1379"/>
      <c r="I13" s="1379"/>
      <c r="J13" s="1379"/>
      <c r="K13" s="722"/>
      <c r="L13" s="722"/>
      <c r="M13" s="722"/>
      <c r="N13" s="722"/>
      <c r="O13" s="448"/>
      <c r="P13" s="722"/>
      <c r="Q13" s="447"/>
      <c r="R13" s="447"/>
      <c r="S13" s="447"/>
      <c r="T13" s="447"/>
    </row>
    <row s="15857" customFormat="1" customHeight="1" ht="10.5">
      <c r="B14" s="1056"/>
      <c r="D14" s="405"/>
      <c r="K14" s="722"/>
      <c r="L14" s="722"/>
      <c r="M14" s="722"/>
      <c r="N14" s="722"/>
      <c r="O14" s="448"/>
      <c r="P14" s="722"/>
      <c r="Q14" s="447"/>
      <c r="R14" s="447"/>
      <c r="S14" s="447"/>
      <c r="T14" s="447"/>
    </row>
    <row s="15857" customFormat="1" customHeight="1" ht="10.5">
      <c r="B15" s="1056"/>
      <c r="D15" s="405"/>
      <c r="K15" s="722"/>
      <c r="L15" s="722"/>
      <c r="M15" s="722"/>
      <c r="N15" s="722"/>
      <c r="O15" s="448"/>
      <c r="P15" s="722"/>
      <c r="Q15" s="447"/>
      <c r="R15" s="447"/>
      <c r="S15" s="447"/>
      <c r="T15" s="447"/>
    </row>
    <row r="19" customHeight="1" ht="14.25">
      <c r="G19" s="595"/>
      <c r="H19" s="595"/>
      <c r="I19" s="595"/>
    </row>
    <row r="23" customHeight="1" ht="14.25">
      <c r="K23" s="1379"/>
      <c r="L23" s="1379"/>
      <c r="M23" s="1379"/>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66321B-057F-A586-35A4-9CD3AC32F03D}" mc:Ignorable="x14ac xr xr2 xr3">
  <dimension ref="A1:IV14"/>
  <sheetViews>
    <sheetView topLeftCell="A1" showGridLines="0" zoomScale="90" workbookViewId="0">
      <selection activeCell="A1" sqref="A1"/>
    </sheetView>
  </sheetViews>
  <sheetFormatPr defaultColWidth="9.140625" customHeight="1" defaultRowHeight="14.25"/>
  <cols>
    <col min="1" max="1" style="16635" width="9.140625" hidden="1"/>
    <col min="2" max="2" style="16550" width="9.140625" hidden="1"/>
    <col min="3" max="3" style="16635" width="3.7109375" hidden="1" customWidth="1"/>
    <col min="4" max="4" style="16405" width="3.8515625" customWidth="1"/>
    <col min="5" max="5" style="16635" width="6.28125" customWidth="1"/>
    <col min="6" max="6" style="16635" width="27.28125" customWidth="1"/>
    <col min="7" max="7" style="16635" width="16.7109375" customWidth="1"/>
    <col min="8" max="8" style="16635" width="12.7109375" customWidth="1"/>
    <col min="9" max="9" style="16635" width="32.140625" customWidth="1"/>
    <col min="10" max="11" style="16635" width="41.8515625" customWidth="1"/>
    <col min="12" max="12" style="16635" width="89.57421875" customWidth="1"/>
    <col min="13" max="13" style="22523" width="3.7109375" customWidth="1"/>
    <col min="14" max="16" style="22523" width="9.140625"/>
    <col min="17" max="17" style="15866" width="25.7109375" customWidth="1"/>
    <col min="18" max="18" style="22523" width="14.421875" customWidth="1"/>
    <col min="19" max="22" style="15867" width="9.140625"/>
    <col min="23" max="256" style="16635" width="9.140625"/>
  </cols>
  <sheetData>
    <row customHeight="1" ht="14.25" hidden="1"/>
    <row s="15824" customFormat="1" customHeight="1" ht="22.5" hidden="1">
      <c r="A2" s="1053"/>
      <c r="B2" s="1384">
        <v>1</v>
      </c>
      <c r="C2" s="1384"/>
      <c r="D2" s="2154" t="s">
        <v>100</v>
      </c>
      <c r="E2" s="2117"/>
      <c r="F2" s="2120" t="str">
        <f>IF(ROIV_INFO_NAME="","",ROIV_INFO_NAME)</f>
        <v>КГУП "Примтеплоэнерго"</v>
      </c>
      <c r="G2" s="2145" t="s">
        <v>24</v>
      </c>
      <c r="H2" s="2144"/>
      <c r="I2" s="1765"/>
      <c r="J2" s="1040"/>
      <c r="K2" s="1040"/>
      <c r="L2" s="450"/>
      <c r="M2" s="1762">
        <f>MERGEVALUE(F2)</f>
      </c>
      <c r="N2" s="733"/>
      <c r="O2" s="733"/>
      <c r="P2" s="722" t="str">
        <f t="array" ref="P2:P2">IF(ISERROR(MATCH(MID(Q2,1,250),MID(note_ter,1,250),0)),"n","y")</f>
        <v>n</v>
      </c>
      <c r="Q2" s="733"/>
      <c r="R2" s="722" t="str">
        <f>G2&amp;"("&amp;L2&amp;")"</f>
        <v>()</v>
      </c>
      <c r="S2" s="1384"/>
      <c r="T2" s="1384"/>
      <c r="U2" s="642"/>
      <c r="V2" s="1384"/>
      <c r="W2" s="1384"/>
      <c r="X2" s="1384"/>
      <c r="Y2" s="644"/>
      <c r="Z2" s="644"/>
      <c r="AA2" s="641"/>
      <c r="AB2" s="641"/>
      <c r="AC2" s="641"/>
      <c r="AD2" s="641"/>
      <c r="AE2" s="641"/>
      <c r="AF2" s="641"/>
      <c r="AG2" s="641"/>
      <c r="AH2" s="641"/>
      <c r="AI2" s="641"/>
      <c r="AJ2" s="641"/>
      <c r="AK2" s="641"/>
      <c r="AL2" s="641"/>
      <c r="AM2" s="641"/>
      <c r="AN2" s="641"/>
      <c r="AO2" s="641"/>
      <c r="AP2" s="641"/>
      <c r="AQ2" s="641"/>
      <c r="AR2" s="641"/>
      <c r="AS2" s="641"/>
      <c r="AT2" s="641"/>
      <c r="AU2" s="641"/>
      <c r="AV2" s="641"/>
      <c r="AW2" s="641"/>
      <c r="AX2" s="641"/>
      <c r="AY2" s="641"/>
      <c r="AZ2" s="641"/>
      <c r="BA2" s="641"/>
      <c r="BB2" s="641"/>
      <c r="BC2" s="641"/>
      <c r="BD2" s="641"/>
      <c r="BE2" s="641"/>
      <c r="BF2" s="641"/>
      <c r="BG2" s="641"/>
      <c r="BH2" s="641"/>
      <c r="BI2" s="641"/>
      <c r="BJ2" s="641"/>
      <c r="BK2" s="641"/>
      <c r="BL2" s="641"/>
      <c r="BM2" s="641"/>
      <c r="BN2" s="641"/>
      <c r="BO2" s="641"/>
      <c r="BP2" s="641"/>
      <c r="BQ2" s="641"/>
      <c r="BR2" s="641"/>
      <c r="BS2" s="641"/>
      <c r="BT2" s="641"/>
      <c r="BU2" s="641"/>
      <c r="BV2" s="644"/>
      <c r="BW2" s="644"/>
      <c r="BX2" s="644"/>
      <c r="BY2" s="644"/>
      <c r="BZ2" s="644"/>
      <c r="CA2" s="644"/>
      <c r="CB2" s="644"/>
      <c r="CC2" s="644"/>
      <c r="CD2" s="644"/>
      <c r="CE2" s="644"/>
    </row>
    <row s="16622" customFormat="1" customHeight="1" ht="5.25" hidden="1">
      <c r="A3" s="718"/>
      <c r="D3" s="716"/>
      <c r="F3" s="469" t="s">
        <v>79</v>
      </c>
      <c r="G3" s="1962" t="s">
        <v>80</v>
      </c>
      <c r="H3" s="716"/>
      <c r="I3" s="716"/>
      <c r="J3" s="716"/>
      <c r="K3" s="716"/>
      <c r="L3" s="449" t="s">
        <v>81</v>
      </c>
      <c r="M3" s="469" t="s">
        <v>79</v>
      </c>
      <c r="N3" s="469"/>
      <c r="O3" s="469"/>
      <c r="P3" s="469"/>
      <c r="Q3" s="470"/>
      <c r="R3" s="469"/>
      <c r="S3" s="469"/>
      <c r="T3" s="469"/>
      <c r="U3" s="469"/>
      <c r="V3" s="46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449"/>
      <c r="BF3" s="449"/>
      <c r="BG3" s="449"/>
      <c r="BH3" s="449"/>
      <c r="BI3" s="449"/>
      <c r="BJ3" s="449"/>
      <c r="BK3" s="449"/>
      <c r="BL3" s="449"/>
      <c r="BM3" s="449"/>
      <c r="BN3" s="449"/>
      <c r="BO3" s="449"/>
      <c r="BP3" s="449"/>
      <c r="BQ3" s="449"/>
      <c r="BR3" s="449"/>
      <c r="BS3" s="449"/>
      <c r="BT3" s="449"/>
      <c r="BU3" s="449"/>
      <c r="BV3" s="449"/>
      <c r="BW3" s="449"/>
      <c r="BX3" s="449"/>
      <c r="BY3" s="449"/>
      <c r="BZ3" s="449"/>
      <c r="CA3" s="449"/>
      <c r="CB3" s="449"/>
      <c r="CC3" s="449"/>
      <c r="CD3" s="449"/>
      <c r="CE3" s="449"/>
      <c r="CF3" s="449"/>
      <c r="CG3" s="449"/>
      <c r="CH3" s="449"/>
      <c r="CI3" s="449"/>
      <c r="CJ3" s="449"/>
      <c r="CK3" s="449"/>
      <c r="CL3" s="449"/>
      <c r="CM3" s="449"/>
      <c r="CN3" s="449"/>
      <c r="CO3" s="449"/>
      <c r="CP3" s="449"/>
      <c r="CQ3" s="449"/>
      <c r="CR3" s="449"/>
      <c r="CS3" s="449"/>
      <c r="CT3" s="449"/>
      <c r="CU3" s="449"/>
      <c r="CV3" s="449"/>
      <c r="CW3" s="449"/>
      <c r="CX3" s="449"/>
      <c r="CY3" s="449"/>
      <c r="CZ3" s="449"/>
      <c r="DA3" s="449"/>
      <c r="DB3" s="449"/>
      <c r="DC3" s="449"/>
      <c r="DD3" s="449"/>
      <c r="DE3" s="449"/>
      <c r="DF3" s="449"/>
      <c r="DG3" s="449"/>
      <c r="DH3" s="449"/>
      <c r="DI3" s="449"/>
      <c r="DJ3" s="449"/>
      <c r="DK3" s="449"/>
      <c r="DL3" s="449"/>
      <c r="DM3" s="449"/>
      <c r="DN3" s="449"/>
      <c r="DO3" s="449"/>
      <c r="DP3" s="449"/>
      <c r="DQ3" s="449"/>
      <c r="DR3" s="449"/>
      <c r="DS3" s="449"/>
      <c r="DT3" s="449"/>
      <c r="DU3" s="449"/>
      <c r="DV3" s="449"/>
      <c r="DW3" s="449"/>
      <c r="DX3" s="449"/>
      <c r="DY3" s="449"/>
      <c r="DZ3" s="449"/>
      <c r="EA3" s="449"/>
      <c r="EB3" s="449"/>
      <c r="EC3" s="449"/>
      <c r="ED3" s="449"/>
      <c r="EE3" s="449"/>
      <c r="EF3" s="449"/>
      <c r="EG3" s="449"/>
      <c r="EH3" s="449"/>
      <c r="EI3" s="449"/>
      <c r="EJ3" s="449"/>
      <c r="EK3" s="449"/>
      <c r="EL3" s="449"/>
      <c r="EM3" s="449"/>
      <c r="EN3" s="449"/>
      <c r="EO3" s="449"/>
      <c r="EP3" s="449"/>
      <c r="EQ3" s="449"/>
      <c r="ER3" s="449"/>
      <c r="ES3" s="449"/>
      <c r="ET3" s="449"/>
      <c r="EU3" s="449"/>
      <c r="EV3" s="449"/>
      <c r="EW3" s="449"/>
      <c r="EX3" s="449"/>
      <c r="EY3" s="449"/>
      <c r="EZ3" s="449"/>
      <c r="FA3" s="449"/>
      <c r="FB3" s="449"/>
      <c r="FC3" s="449"/>
      <c r="FD3" s="449"/>
      <c r="FE3" s="449"/>
      <c r="FF3" s="449"/>
      <c r="FG3" s="449"/>
      <c r="FH3" s="449"/>
      <c r="FI3" s="449"/>
      <c r="FJ3" s="449"/>
      <c r="FK3" s="449"/>
      <c r="FL3" s="449"/>
      <c r="FM3" s="449"/>
      <c r="FN3" s="449"/>
      <c r="FO3" s="449"/>
      <c r="FP3" s="449"/>
      <c r="FQ3" s="449"/>
      <c r="FR3" s="449"/>
      <c r="FS3" s="449"/>
      <c r="FT3" s="449"/>
      <c r="FU3" s="449"/>
      <c r="FV3" s="449"/>
      <c r="FW3" s="449"/>
      <c r="FX3" s="449"/>
      <c r="FY3" s="449"/>
      <c r="FZ3" s="449"/>
      <c r="GA3" s="449"/>
      <c r="GB3" s="449"/>
      <c r="GC3" s="449"/>
      <c r="GD3" s="449"/>
      <c r="GE3" s="449"/>
      <c r="GF3" s="449"/>
      <c r="GG3" s="449"/>
      <c r="GH3" s="449"/>
      <c r="GI3" s="449"/>
      <c r="GJ3" s="449"/>
      <c r="GK3" s="449"/>
      <c r="GL3" s="449"/>
      <c r="GM3" s="449"/>
      <c r="GN3" s="449"/>
      <c r="GO3" s="449"/>
      <c r="GP3" s="449"/>
      <c r="GQ3" s="449"/>
      <c r="GR3" s="449"/>
      <c r="GS3" s="449"/>
      <c r="GT3" s="449"/>
      <c r="GU3" s="449"/>
      <c r="GV3" s="449"/>
      <c r="GW3" s="449"/>
      <c r="GX3" s="449"/>
      <c r="GY3" s="449"/>
      <c r="GZ3" s="449"/>
      <c r="HA3" s="449"/>
      <c r="HB3" s="449"/>
      <c r="HC3" s="449"/>
      <c r="HD3" s="449"/>
      <c r="HE3" s="449"/>
      <c r="HF3" s="449"/>
      <c r="HG3" s="449"/>
      <c r="HH3" s="449"/>
      <c r="HI3" s="449"/>
      <c r="HJ3" s="449"/>
      <c r="HK3" s="449"/>
      <c r="HL3" s="449"/>
      <c r="HM3" s="449"/>
      <c r="HN3" s="449"/>
      <c r="HO3" s="449"/>
      <c r="HP3" s="449"/>
      <c r="HQ3" s="449"/>
      <c r="HR3" s="449"/>
      <c r="HS3" s="449"/>
      <c r="HT3" s="449"/>
      <c r="HU3" s="449"/>
      <c r="HV3" s="449"/>
      <c r="HW3" s="449"/>
      <c r="HX3" s="449"/>
      <c r="HY3" s="449"/>
      <c r="HZ3" s="449"/>
      <c r="IA3" s="449"/>
      <c r="IB3" s="449"/>
      <c r="IC3" s="449"/>
      <c r="ID3" s="449"/>
      <c r="IE3" s="449"/>
      <c r="IF3" s="449"/>
      <c r="IG3" s="449"/>
      <c r="IH3" s="449"/>
      <c r="II3" s="449"/>
      <c r="IJ3" s="449"/>
      <c r="IK3" s="449"/>
      <c r="IL3" s="449"/>
      <c r="IM3" s="449"/>
      <c r="IN3" s="449"/>
      <c r="IO3" s="449"/>
      <c r="IP3" s="449"/>
      <c r="IQ3" s="449"/>
      <c r="IR3" s="449"/>
      <c r="IS3" s="449"/>
      <c r="IT3" s="449"/>
      <c r="IU3" s="449"/>
      <c r="IV3" s="449"/>
    </row>
    <row s="15815" customFormat="1" customHeight="1" ht="14.25">
      <c r="A4" s="1379"/>
      <c r="B4" s="1384"/>
      <c r="C4" s="1379"/>
      <c r="D4" s="1722"/>
      <c r="E4" s="731"/>
      <c r="F4" s="731"/>
      <c r="G4" s="731"/>
      <c r="H4" s="731"/>
      <c r="I4" s="731"/>
      <c r="J4" s="731"/>
      <c r="K4" s="731"/>
      <c r="L4" s="389"/>
      <c r="M4" s="469"/>
      <c r="N4" s="722"/>
      <c r="O4" s="722"/>
      <c r="P4" s="722"/>
      <c r="Q4" s="448"/>
      <c r="R4" s="722"/>
      <c r="S4" s="447"/>
      <c r="T4" s="447"/>
      <c r="U4" s="447"/>
      <c r="V4" s="447"/>
    </row>
    <row s="15815" customFormat="1" customHeight="1" ht="25.5">
      <c r="A5" s="1379"/>
      <c r="B5" s="1384"/>
      <c r="C5" s="1379"/>
      <c r="D5" s="1722"/>
      <c r="E5" s="223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36"/>
      <c r="G5" s="2236"/>
      <c r="H5" s="2236"/>
      <c r="I5" s="2236"/>
      <c r="J5" s="2236"/>
      <c r="K5" s="2236"/>
      <c r="L5" s="810"/>
      <c r="M5" s="469"/>
      <c r="N5" s="722"/>
      <c r="O5" s="722"/>
      <c r="P5" s="722"/>
      <c r="Q5" s="448"/>
      <c r="R5" s="722"/>
      <c r="S5" s="447"/>
      <c r="T5" s="447"/>
      <c r="U5" s="447"/>
      <c r="V5" s="447"/>
    </row>
    <row s="15815" customFormat="1" customHeight="1" ht="14.25">
      <c r="A6" s="1379"/>
      <c r="B6" s="1384"/>
      <c r="C6" s="1379"/>
      <c r="D6" s="1722"/>
      <c r="E6" s="731"/>
      <c r="F6" s="390"/>
      <c r="G6" s="390"/>
      <c r="H6" s="390"/>
      <c r="I6" s="390"/>
      <c r="J6" s="390"/>
      <c r="K6" s="390"/>
      <c r="L6" s="391"/>
      <c r="M6" s="722"/>
      <c r="N6" s="722"/>
      <c r="O6" s="722"/>
      <c r="P6" s="722"/>
      <c r="Q6" s="448"/>
      <c r="R6" s="722"/>
      <c r="S6" s="447"/>
      <c r="T6" s="447"/>
      <c r="U6" s="447"/>
      <c r="V6" s="447"/>
    </row>
    <row s="15815" customFormat="1" customHeight="1" ht="14.25">
      <c r="A7" s="1379"/>
      <c r="B7" s="1384"/>
      <c r="C7" s="1379"/>
      <c r="D7" s="1722"/>
      <c r="E7" s="2237" t="s">
        <v>406</v>
      </c>
      <c r="F7" s="2238"/>
      <c r="G7" s="2238"/>
      <c r="H7" s="2238"/>
      <c r="I7" s="2238"/>
      <c r="J7" s="2238"/>
      <c r="K7" s="2238"/>
      <c r="L7" s="2601" t="s">
        <v>407</v>
      </c>
      <c r="M7" s="722"/>
      <c r="N7" s="722"/>
      <c r="O7" s="722"/>
      <c r="P7" s="722"/>
      <c r="Q7" s="448"/>
      <c r="R7" s="722"/>
      <c r="S7" s="447"/>
      <c r="T7" s="447"/>
      <c r="U7" s="447"/>
      <c r="V7" s="447"/>
    </row>
    <row s="15815" customFormat="1" customHeight="1" ht="64.5">
      <c r="A8" s="1379"/>
      <c r="B8" s="1384"/>
      <c r="C8" s="1379"/>
      <c r="D8" s="1722"/>
      <c r="E8" s="2605" t="s">
        <v>84</v>
      </c>
      <c r="F8" s="260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0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08"/>
      <c r="I8" s="2609"/>
      <c r="J8" s="260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03"/>
      <c r="M8" s="722"/>
      <c r="N8" s="722"/>
      <c r="O8" s="722"/>
      <c r="P8" s="722"/>
      <c r="Q8" s="448"/>
      <c r="R8" s="722"/>
      <c r="S8" s="447"/>
      <c r="T8" s="447"/>
      <c r="U8" s="447"/>
      <c r="V8" s="447"/>
    </row>
    <row s="15815" customFormat="1" customHeight="1" ht="27.75">
      <c r="A9" s="1379"/>
      <c r="B9" s="1384"/>
      <c r="C9" s="1379"/>
      <c r="D9" s="1722"/>
      <c r="E9" s="2606"/>
      <c r="F9" s="2606"/>
      <c r="G9" s="1764" t="s">
        <v>1896</v>
      </c>
      <c r="H9" s="1764" t="s">
        <v>1897</v>
      </c>
      <c r="I9" s="1764" t="s">
        <v>1898</v>
      </c>
      <c r="J9" s="2606"/>
      <c r="K9" s="2606"/>
      <c r="L9" s="2602"/>
      <c r="M9" s="722"/>
      <c r="N9" s="722"/>
      <c r="O9" s="722"/>
      <c r="P9" s="722"/>
      <c r="Q9" s="448"/>
      <c r="R9" s="722"/>
      <c r="S9" s="447"/>
      <c r="T9" s="447"/>
      <c r="U9" s="447"/>
      <c r="V9" s="447"/>
    </row>
    <row s="15824" customFormat="1" customHeight="1" ht="22.5">
      <c r="A10" s="2235"/>
      <c r="B10" s="1384">
        <v>1</v>
      </c>
      <c r="C10" s="1384"/>
      <c r="D10" s="1022"/>
      <c r="E10" s="1020">
        <v>1</v>
      </c>
      <c r="F10" s="1766" t="str">
        <f>IF(ROIV_INFO_NAME="","",ROIV_INFO_NAME)</f>
        <v>КГУП "Примтеплоэнерго"</v>
      </c>
      <c r="G10" s="1959" t="s">
        <v>24</v>
      </c>
      <c r="H10" s="2144"/>
      <c r="I10" s="1761"/>
      <c r="J10" s="1040"/>
      <c r="K10" s="1040"/>
      <c r="L10" s="257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733"/>
      <c r="O10" s="733"/>
      <c r="P10" s="722" t="str">
        <f t="array" ref="P10:P10">IF(ISERROR(MATCH(MID(Q10,1,250),MID(note_ter,1,250),0)),"n","y")</f>
        <v>n</v>
      </c>
      <c r="Q10" s="733"/>
      <c r="R10" s="72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84"/>
      <c r="T10" s="1384"/>
      <c r="U10" s="642"/>
      <c r="V10" s="1384"/>
      <c r="W10" s="1384"/>
      <c r="X10" s="1384"/>
      <c r="Y10" s="644"/>
      <c r="Z10" s="644"/>
      <c r="AA10" s="641"/>
      <c r="AB10" s="641"/>
      <c r="AC10" s="641"/>
      <c r="AD10" s="641"/>
      <c r="AE10" s="641"/>
      <c r="AF10" s="641"/>
      <c r="AG10" s="641"/>
      <c r="AH10" s="641"/>
      <c r="AI10" s="641"/>
      <c r="AJ10" s="641"/>
      <c r="AK10" s="641"/>
      <c r="AL10" s="641"/>
      <c r="AM10" s="641"/>
      <c r="AN10" s="641"/>
      <c r="AO10" s="641"/>
      <c r="AP10" s="641"/>
      <c r="AQ10" s="641"/>
      <c r="AR10" s="641"/>
      <c r="AS10" s="641"/>
      <c r="AT10" s="641"/>
      <c r="AU10" s="641"/>
      <c r="AV10" s="641"/>
      <c r="AW10" s="641"/>
      <c r="AX10" s="641"/>
      <c r="AY10" s="641"/>
      <c r="AZ10" s="641"/>
      <c r="BA10" s="641"/>
      <c r="BB10" s="641"/>
      <c r="BC10" s="641"/>
      <c r="BD10" s="641"/>
      <c r="BE10" s="641"/>
      <c r="BF10" s="641"/>
      <c r="BG10" s="641"/>
      <c r="BH10" s="641"/>
      <c r="BI10" s="641"/>
      <c r="BJ10" s="641"/>
      <c r="BK10" s="641"/>
      <c r="BL10" s="641"/>
      <c r="BM10" s="641"/>
      <c r="BN10" s="641"/>
      <c r="BO10" s="641"/>
      <c r="BP10" s="641"/>
      <c r="BQ10" s="641"/>
      <c r="BR10" s="641"/>
      <c r="BS10" s="641"/>
      <c r="BT10" s="641"/>
      <c r="BU10" s="641"/>
      <c r="BV10" s="644"/>
      <c r="BW10" s="644"/>
      <c r="BX10" s="644"/>
      <c r="BY10" s="644"/>
      <c r="BZ10" s="644"/>
      <c r="CA10" s="644"/>
      <c r="CB10" s="644"/>
      <c r="CC10" s="644"/>
      <c r="CD10" s="644"/>
      <c r="CE10" s="644"/>
    </row>
    <row s="15824" customFormat="1" customHeight="1" ht="15">
      <c r="A11" s="2235"/>
      <c r="B11" s="1384"/>
      <c r="C11" s="634"/>
      <c r="D11" s="1023"/>
      <c r="E11" s="643"/>
      <c r="F11" s="638" t="s">
        <v>1899</v>
      </c>
      <c r="G11" s="409"/>
      <c r="H11" s="409"/>
      <c r="I11" s="409"/>
      <c r="J11" s="409"/>
      <c r="K11" s="646"/>
      <c r="L11" s="2604"/>
      <c r="M11" s="1763"/>
      <c r="N11" s="733"/>
      <c r="O11" s="733"/>
      <c r="P11" s="733"/>
      <c r="Q11" s="722"/>
      <c r="R11" s="733"/>
      <c r="S11" s="1384"/>
      <c r="T11" s="1384"/>
      <c r="U11" s="642"/>
      <c r="V11" s="1384"/>
      <c r="W11" s="1384"/>
      <c r="X11" s="1384"/>
      <c r="Y11" s="644"/>
      <c r="Z11" s="644"/>
      <c r="AA11" s="641"/>
      <c r="AB11" s="641"/>
      <c r="AC11" s="641"/>
      <c r="AD11" s="641"/>
      <c r="AE11" s="641"/>
      <c r="AF11" s="641"/>
      <c r="AG11" s="641"/>
      <c r="AH11" s="641"/>
      <c r="AI11" s="641"/>
      <c r="AJ11" s="641"/>
      <c r="AK11" s="641"/>
      <c r="AL11" s="641"/>
      <c r="AM11" s="641"/>
      <c r="AN11" s="641"/>
      <c r="AO11" s="641"/>
      <c r="AP11" s="641"/>
      <c r="AQ11" s="641"/>
      <c r="AR11" s="641"/>
      <c r="AS11" s="641"/>
      <c r="AT11" s="641"/>
      <c r="AU11" s="641"/>
      <c r="AV11" s="641"/>
      <c r="AW11" s="641"/>
      <c r="AX11" s="641"/>
      <c r="AY11" s="641"/>
      <c r="AZ11" s="641"/>
      <c r="BA11" s="641"/>
      <c r="BB11" s="641"/>
      <c r="BC11" s="641"/>
      <c r="BD11" s="641"/>
      <c r="BE11" s="641"/>
      <c r="BF11" s="641"/>
      <c r="BG11" s="641"/>
      <c r="BH11" s="641"/>
      <c r="BI11" s="641"/>
      <c r="BJ11" s="641"/>
      <c r="BK11" s="641"/>
      <c r="BL11" s="641"/>
      <c r="BM11" s="641"/>
      <c r="BN11" s="641"/>
      <c r="BO11" s="641"/>
      <c r="BP11" s="641"/>
      <c r="BQ11" s="641"/>
      <c r="BR11" s="641"/>
      <c r="BS11" s="641"/>
      <c r="BT11" s="641"/>
      <c r="BU11" s="641"/>
      <c r="BV11" s="644"/>
      <c r="BW11" s="644"/>
      <c r="BX11" s="644"/>
      <c r="BY11" s="644"/>
      <c r="BZ11" s="644"/>
      <c r="CA11" s="644"/>
      <c r="CB11" s="644"/>
      <c r="CC11" s="644"/>
      <c r="CD11" s="644"/>
      <c r="CE11" s="644"/>
    </row>
    <row s="15815" customFormat="1" customHeight="1" ht="21">
      <c r="A12" s="1379"/>
      <c r="B12" s="1384"/>
      <c r="C12" s="1379"/>
      <c r="D12" s="673"/>
      <c r="E12" s="403"/>
      <c r="F12" s="403"/>
      <c r="G12" s="403"/>
      <c r="H12" s="403"/>
      <c r="I12" s="403"/>
      <c r="J12" s="403"/>
      <c r="K12" s="403"/>
      <c r="L12" s="403"/>
      <c r="M12" s="722"/>
      <c r="N12" s="722"/>
      <c r="O12" s="722"/>
      <c r="P12" s="722"/>
      <c r="Q12" s="448"/>
      <c r="R12" s="722"/>
      <c r="S12" s="447"/>
      <c r="T12" s="447"/>
      <c r="U12" s="447"/>
      <c r="V12" s="447"/>
    </row>
    <row s="15815" customFormat="1" customHeight="1" ht="14.25">
      <c r="A13" s="1379"/>
      <c r="B13" s="1384"/>
      <c r="C13" s="1379"/>
      <c r="D13" s="673"/>
      <c r="E13" s="1379"/>
      <c r="F13" s="1379"/>
      <c r="G13" s="1379"/>
      <c r="H13" s="1379"/>
      <c r="I13" s="1379"/>
      <c r="J13" s="1379"/>
      <c r="K13" s="1379"/>
      <c r="L13" s="1379"/>
      <c r="M13" s="722"/>
      <c r="N13" s="722"/>
      <c r="O13" s="722"/>
      <c r="P13" s="722"/>
      <c r="Q13" s="448"/>
      <c r="R13" s="722"/>
      <c r="S13" s="447"/>
      <c r="T13" s="447"/>
      <c r="U13" s="447"/>
      <c r="V13" s="447"/>
    </row>
    <row s="15815" customFormat="1" customHeight="1" ht="0.75">
      <c r="A14" s="1379"/>
      <c r="B14" s="1384"/>
      <c r="C14" s="1379"/>
      <c r="D14" s="673"/>
      <c r="E14" s="1379"/>
      <c r="F14" s="1379"/>
      <c r="G14" s="1379"/>
      <c r="H14" s="1379"/>
      <c r="I14" s="1379"/>
      <c r="J14" s="1379"/>
      <c r="K14" s="1379"/>
      <c r="L14" s="1379"/>
      <c r="M14" s="722"/>
      <c r="N14" s="722"/>
      <c r="O14" s="722"/>
      <c r="P14" s="722"/>
      <c r="Q14" s="448"/>
      <c r="R14" s="722"/>
      <c r="S14" s="447"/>
      <c r="T14" s="447"/>
      <c r="U14" s="447"/>
      <c r="V14" s="447"/>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BEEEDD-F703-AF44-2C13-7CFF9668430C}" mc:Ignorable="x14ac xr xr2 xr3">
  <dimension ref="A1:IV14"/>
  <sheetViews>
    <sheetView topLeftCell="A1" showGridLines="0" zoomScale="90" workbookViewId="0">
      <selection activeCell="A1" sqref="A1"/>
    </sheetView>
  </sheetViews>
  <sheetFormatPr defaultColWidth="9.140625" customHeight="1" defaultRowHeight="14.25"/>
  <cols>
    <col min="1" max="1" style="16676" width="9.140625" hidden="1"/>
    <col min="2" max="2" style="16661" width="9.140625" hidden="1"/>
    <col min="3" max="3" style="16676" width="3.7109375" hidden="1" customWidth="1"/>
    <col min="4" max="4" style="22551" width="3.8515625" customWidth="1"/>
    <col min="5" max="5" style="16676" width="6.28125" customWidth="1"/>
    <col min="6" max="6" style="16676" width="27.28125" customWidth="1"/>
    <col min="7" max="7" style="16676" width="16.7109375" customWidth="1"/>
    <col min="8" max="8" style="16676" width="12.7109375" customWidth="1"/>
    <col min="9" max="9" style="16676" width="32.140625" customWidth="1"/>
    <col min="10" max="11" style="16676" width="41.8515625" customWidth="1"/>
    <col min="12" max="12" style="16676" width="89.57421875" customWidth="1"/>
    <col min="13" max="13" style="22552" width="3.7109375" customWidth="1"/>
    <col min="14" max="16" style="22552" width="9.140625"/>
    <col min="17" max="17" style="22552" width="25.7109375" customWidth="1"/>
    <col min="18" max="18" style="22552" width="14.421875" customWidth="1"/>
    <col min="19" max="22" style="15867" width="9.140625"/>
    <col min="23" max="256" style="16676" width="9.140625"/>
  </cols>
  <sheetData>
    <row customHeight="1" ht="14.25" hidden="1"/>
    <row s="22541" customFormat="1" customHeight="1" ht="22.5" hidden="1">
      <c r="A2" s="1053"/>
      <c r="B2" s="1593">
        <v>1</v>
      </c>
      <c r="C2" s="1593"/>
      <c r="D2" s="2155" t="s">
        <v>100</v>
      </c>
      <c r="E2" s="2132"/>
      <c r="F2" s="2134" t="str">
        <f>IF(ROIV_INFO_NAME="","",ROIV_INFO_NAME)</f>
        <v>КГУП "Примтеплоэнерго"</v>
      </c>
      <c r="G2" s="1959" t="s">
        <v>24</v>
      </c>
      <c r="H2" s="2144"/>
      <c r="I2" s="1765"/>
      <c r="J2" s="1040"/>
      <c r="K2" s="1040"/>
      <c r="L2" s="450"/>
      <c r="M2" s="1762">
        <f>MERGEVALUE(F2)</f>
      </c>
      <c r="N2" s="1863"/>
      <c r="O2" s="1863"/>
      <c r="P2" s="1851" t="str">
        <f t="array" ref="P2:P2">IF(ISERROR(MATCH(MID(Q2,1,250),MID(note_ter,1,250),0)),"n","y")</f>
        <v>n</v>
      </c>
      <c r="Q2" s="1863"/>
      <c r="R2" s="1851" t="str">
        <f>G2&amp;"("&amp;L2&amp;")"</f>
        <v>()</v>
      </c>
      <c r="S2" s="1593"/>
      <c r="T2" s="1593"/>
      <c r="U2" s="642"/>
      <c r="V2" s="1593"/>
      <c r="W2" s="1593"/>
      <c r="X2" s="1593"/>
      <c r="Y2" s="1055"/>
      <c r="Z2" s="1055"/>
      <c r="AA2" s="849"/>
      <c r="AB2" s="849"/>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1055"/>
      <c r="BW2" s="1055"/>
      <c r="BX2" s="1055"/>
      <c r="BY2" s="1055"/>
      <c r="BZ2" s="1055"/>
      <c r="CA2" s="1055"/>
      <c r="CB2" s="1055"/>
      <c r="CC2" s="1055"/>
      <c r="CD2" s="1055"/>
      <c r="CE2" s="1055"/>
    </row>
    <row s="16674" customFormat="1" customHeight="1" ht="5.25" hidden="1">
      <c r="A3" s="1868"/>
      <c r="D3" s="2121"/>
      <c r="F3" s="470" t="s">
        <v>79</v>
      </c>
      <c r="G3" s="1962" t="s">
        <v>80</v>
      </c>
      <c r="H3" s="2121"/>
      <c r="I3" s="2121"/>
      <c r="J3" s="2121"/>
      <c r="K3" s="2121"/>
      <c r="L3" s="449" t="s">
        <v>81</v>
      </c>
      <c r="M3" s="470" t="s">
        <v>79</v>
      </c>
      <c r="N3" s="470"/>
      <c r="O3" s="470"/>
      <c r="P3" s="470"/>
      <c r="Q3" s="470"/>
      <c r="R3" s="470"/>
      <c r="S3" s="470"/>
      <c r="T3" s="470"/>
      <c r="U3" s="470"/>
      <c r="V3" s="470"/>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449"/>
      <c r="BF3" s="449"/>
      <c r="BG3" s="449"/>
      <c r="BH3" s="449"/>
      <c r="BI3" s="449"/>
      <c r="BJ3" s="449"/>
      <c r="BK3" s="449"/>
      <c r="BL3" s="449"/>
      <c r="BM3" s="449"/>
      <c r="BN3" s="449"/>
      <c r="BO3" s="449"/>
      <c r="BP3" s="449"/>
      <c r="BQ3" s="449"/>
      <c r="BR3" s="449"/>
      <c r="BS3" s="449"/>
      <c r="BT3" s="449"/>
      <c r="BU3" s="449"/>
      <c r="BV3" s="449"/>
      <c r="BW3" s="449"/>
      <c r="BX3" s="449"/>
      <c r="BY3" s="449"/>
      <c r="BZ3" s="449"/>
      <c r="CA3" s="449"/>
      <c r="CB3" s="449"/>
      <c r="CC3" s="449"/>
      <c r="CD3" s="449"/>
      <c r="CE3" s="449"/>
      <c r="CF3" s="449"/>
      <c r="CG3" s="449"/>
      <c r="CH3" s="449"/>
      <c r="CI3" s="449"/>
      <c r="CJ3" s="449"/>
      <c r="CK3" s="449"/>
      <c r="CL3" s="449"/>
      <c r="CM3" s="449"/>
      <c r="CN3" s="449"/>
      <c r="CO3" s="449"/>
      <c r="CP3" s="449"/>
      <c r="CQ3" s="449"/>
      <c r="CR3" s="449"/>
      <c r="CS3" s="449"/>
      <c r="CT3" s="449"/>
      <c r="CU3" s="449"/>
      <c r="CV3" s="449"/>
      <c r="CW3" s="449"/>
      <c r="CX3" s="449"/>
      <c r="CY3" s="449"/>
      <c r="CZ3" s="449"/>
      <c r="DA3" s="449"/>
      <c r="DB3" s="449"/>
      <c r="DC3" s="449"/>
      <c r="DD3" s="449"/>
      <c r="DE3" s="449"/>
      <c r="DF3" s="449"/>
      <c r="DG3" s="449"/>
      <c r="DH3" s="449"/>
      <c r="DI3" s="449"/>
      <c r="DJ3" s="449"/>
      <c r="DK3" s="449"/>
      <c r="DL3" s="449"/>
      <c r="DM3" s="449"/>
      <c r="DN3" s="449"/>
      <c r="DO3" s="449"/>
      <c r="DP3" s="449"/>
      <c r="DQ3" s="449"/>
      <c r="DR3" s="449"/>
      <c r="DS3" s="449"/>
      <c r="DT3" s="449"/>
      <c r="DU3" s="449"/>
      <c r="DV3" s="449"/>
      <c r="DW3" s="449"/>
      <c r="DX3" s="449"/>
      <c r="DY3" s="449"/>
      <c r="DZ3" s="449"/>
      <c r="EA3" s="449"/>
      <c r="EB3" s="449"/>
      <c r="EC3" s="449"/>
      <c r="ED3" s="449"/>
      <c r="EE3" s="449"/>
      <c r="EF3" s="449"/>
      <c r="EG3" s="449"/>
      <c r="EH3" s="449"/>
      <c r="EI3" s="449"/>
      <c r="EJ3" s="449"/>
      <c r="EK3" s="449"/>
      <c r="EL3" s="449"/>
      <c r="EM3" s="449"/>
      <c r="EN3" s="449"/>
      <c r="EO3" s="449"/>
      <c r="EP3" s="449"/>
      <c r="EQ3" s="449"/>
      <c r="ER3" s="449"/>
      <c r="ES3" s="449"/>
      <c r="ET3" s="449"/>
      <c r="EU3" s="449"/>
      <c r="EV3" s="449"/>
      <c r="EW3" s="449"/>
      <c r="EX3" s="449"/>
      <c r="EY3" s="449"/>
      <c r="EZ3" s="449"/>
      <c r="FA3" s="449"/>
      <c r="FB3" s="449"/>
      <c r="FC3" s="449"/>
      <c r="FD3" s="449"/>
      <c r="FE3" s="449"/>
      <c r="FF3" s="449"/>
      <c r="FG3" s="449"/>
      <c r="FH3" s="449"/>
      <c r="FI3" s="449"/>
      <c r="FJ3" s="449"/>
      <c r="FK3" s="449"/>
      <c r="FL3" s="449"/>
      <c r="FM3" s="449"/>
      <c r="FN3" s="449"/>
      <c r="FO3" s="449"/>
      <c r="FP3" s="449"/>
      <c r="FQ3" s="449"/>
      <c r="FR3" s="449"/>
      <c r="FS3" s="449"/>
      <c r="FT3" s="449"/>
      <c r="FU3" s="449"/>
      <c r="FV3" s="449"/>
      <c r="FW3" s="449"/>
      <c r="FX3" s="449"/>
      <c r="FY3" s="449"/>
      <c r="FZ3" s="449"/>
      <c r="GA3" s="449"/>
      <c r="GB3" s="449"/>
      <c r="GC3" s="449"/>
      <c r="GD3" s="449"/>
      <c r="GE3" s="449"/>
      <c r="GF3" s="449"/>
      <c r="GG3" s="449"/>
      <c r="GH3" s="449"/>
      <c r="GI3" s="449"/>
      <c r="GJ3" s="449"/>
      <c r="GK3" s="449"/>
      <c r="GL3" s="449"/>
      <c r="GM3" s="449"/>
      <c r="GN3" s="449"/>
      <c r="GO3" s="449"/>
      <c r="GP3" s="449"/>
      <c r="GQ3" s="449"/>
      <c r="GR3" s="449"/>
      <c r="GS3" s="449"/>
      <c r="GT3" s="449"/>
      <c r="GU3" s="449"/>
      <c r="GV3" s="449"/>
      <c r="GW3" s="449"/>
      <c r="GX3" s="449"/>
      <c r="GY3" s="449"/>
      <c r="GZ3" s="449"/>
      <c r="HA3" s="449"/>
      <c r="HB3" s="449"/>
      <c r="HC3" s="449"/>
      <c r="HD3" s="449"/>
      <c r="HE3" s="449"/>
      <c r="HF3" s="449"/>
      <c r="HG3" s="449"/>
      <c r="HH3" s="449"/>
      <c r="HI3" s="449"/>
      <c r="HJ3" s="449"/>
      <c r="HK3" s="449"/>
      <c r="HL3" s="449"/>
      <c r="HM3" s="449"/>
      <c r="HN3" s="449"/>
      <c r="HO3" s="449"/>
      <c r="HP3" s="449"/>
      <c r="HQ3" s="449"/>
      <c r="HR3" s="449"/>
      <c r="HS3" s="449"/>
      <c r="HT3" s="449"/>
      <c r="HU3" s="449"/>
      <c r="HV3" s="449"/>
      <c r="HW3" s="449"/>
      <c r="HX3" s="449"/>
      <c r="HY3" s="449"/>
      <c r="HZ3" s="449"/>
      <c r="IA3" s="449"/>
      <c r="IB3" s="449"/>
      <c r="IC3" s="449"/>
      <c r="ID3" s="449"/>
      <c r="IE3" s="449"/>
      <c r="IF3" s="449"/>
      <c r="IG3" s="449"/>
      <c r="IH3" s="449"/>
      <c r="II3" s="449"/>
      <c r="IJ3" s="449"/>
      <c r="IK3" s="449"/>
      <c r="IL3" s="449"/>
      <c r="IM3" s="449"/>
      <c r="IN3" s="449"/>
      <c r="IO3" s="449"/>
      <c r="IP3" s="449"/>
      <c r="IQ3" s="449"/>
      <c r="IR3" s="449"/>
      <c r="IS3" s="449"/>
      <c r="IT3" s="449"/>
      <c r="IU3" s="449"/>
      <c r="IV3" s="449"/>
    </row>
    <row s="16194" customFormat="1" customHeight="1" ht="14.25">
      <c r="A4" s="1858"/>
      <c r="B4" s="1593"/>
      <c r="C4" s="1858"/>
      <c r="D4" s="1742"/>
      <c r="E4" s="1862"/>
      <c r="F4" s="1862"/>
      <c r="G4" s="1862"/>
      <c r="H4" s="1862"/>
      <c r="I4" s="1862"/>
      <c r="J4" s="1862"/>
      <c r="K4" s="1862"/>
      <c r="L4" s="2123"/>
      <c r="M4" s="470"/>
      <c r="N4" s="1851"/>
      <c r="O4" s="1851"/>
      <c r="P4" s="1851"/>
      <c r="Q4" s="1851"/>
      <c r="R4" s="1851"/>
      <c r="S4" s="447"/>
      <c r="T4" s="447"/>
      <c r="U4" s="447"/>
      <c r="V4" s="447"/>
    </row>
    <row s="16194" customFormat="1" customHeight="1" ht="25.5">
      <c r="A5" s="1858"/>
      <c r="B5" s="1593"/>
      <c r="C5" s="1858"/>
      <c r="D5" s="1742"/>
      <c r="E5" s="223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36"/>
      <c r="G5" s="2236"/>
      <c r="H5" s="2236"/>
      <c r="I5" s="2236"/>
      <c r="J5" s="2236"/>
      <c r="K5" s="2236"/>
      <c r="L5" s="1862"/>
      <c r="M5" s="470"/>
      <c r="N5" s="1851"/>
      <c r="O5" s="1851"/>
      <c r="P5" s="1851"/>
      <c r="Q5" s="1851"/>
      <c r="R5" s="1851"/>
      <c r="S5" s="447"/>
      <c r="T5" s="447"/>
      <c r="U5" s="447"/>
      <c r="V5" s="447"/>
    </row>
    <row s="16194" customFormat="1" customHeight="1" ht="14.25">
      <c r="A6" s="1858"/>
      <c r="B6" s="1593"/>
      <c r="C6" s="1858"/>
      <c r="D6" s="1742"/>
      <c r="E6" s="1862"/>
      <c r="F6" s="838"/>
      <c r="G6" s="838"/>
      <c r="H6" s="838"/>
      <c r="I6" s="838"/>
      <c r="J6" s="838"/>
      <c r="K6" s="838"/>
      <c r="L6" s="1478"/>
      <c r="M6" s="1851"/>
      <c r="N6" s="1851"/>
      <c r="O6" s="1851"/>
      <c r="P6" s="1851"/>
      <c r="Q6" s="1851"/>
      <c r="R6" s="1851"/>
      <c r="S6" s="447"/>
      <c r="T6" s="447"/>
      <c r="U6" s="447"/>
      <c r="V6" s="447"/>
    </row>
    <row s="16194" customFormat="1" customHeight="1" ht="14.25">
      <c r="A7" s="1858"/>
      <c r="B7" s="1593"/>
      <c r="C7" s="1858"/>
      <c r="D7" s="1742"/>
      <c r="E7" s="2237" t="s">
        <v>406</v>
      </c>
      <c r="F7" s="2238"/>
      <c r="G7" s="2238"/>
      <c r="H7" s="2238"/>
      <c r="I7" s="2238"/>
      <c r="J7" s="2238"/>
      <c r="K7" s="2238"/>
      <c r="L7" s="2601" t="s">
        <v>407</v>
      </c>
      <c r="M7" s="1851"/>
      <c r="N7" s="1851"/>
      <c r="O7" s="1851"/>
      <c r="P7" s="1851"/>
      <c r="Q7" s="1851"/>
      <c r="R7" s="1851"/>
      <c r="S7" s="447"/>
      <c r="T7" s="447"/>
      <c r="U7" s="447"/>
      <c r="V7" s="447"/>
    </row>
    <row s="16194" customFormat="1" customHeight="1" ht="64.5">
      <c r="A8" s="1858"/>
      <c r="B8" s="1593"/>
      <c r="C8" s="1858"/>
      <c r="D8" s="1742"/>
      <c r="E8" s="2605" t="s">
        <v>84</v>
      </c>
      <c r="F8" s="2605" t="s">
        <v>1900</v>
      </c>
      <c r="G8" s="2607" t="s">
        <v>1901</v>
      </c>
      <c r="H8" s="2608"/>
      <c r="I8" s="2609"/>
      <c r="J8" s="2605" t="s">
        <v>1902</v>
      </c>
      <c r="K8" s="26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03"/>
      <c r="M8" s="1851"/>
      <c r="N8" s="1851"/>
      <c r="O8" s="1851"/>
      <c r="P8" s="1851"/>
      <c r="Q8" s="1851"/>
      <c r="R8" s="1851"/>
      <c r="S8" s="447"/>
      <c r="T8" s="447"/>
      <c r="U8" s="447"/>
      <c r="V8" s="447"/>
    </row>
    <row s="16194" customFormat="1" customHeight="1" ht="27.75">
      <c r="A9" s="1858"/>
      <c r="B9" s="1593"/>
      <c r="C9" s="1858"/>
      <c r="D9" s="1742"/>
      <c r="E9" s="2606"/>
      <c r="F9" s="2606"/>
      <c r="G9" s="2122" t="s">
        <v>1896</v>
      </c>
      <c r="H9" s="2122" t="s">
        <v>1897</v>
      </c>
      <c r="I9" s="2122" t="s">
        <v>1898</v>
      </c>
      <c r="J9" s="2606"/>
      <c r="K9" s="2606"/>
      <c r="L9" s="2602"/>
      <c r="M9" s="1851"/>
      <c r="N9" s="1851"/>
      <c r="O9" s="1851"/>
      <c r="P9" s="1851"/>
      <c r="Q9" s="1851"/>
      <c r="R9" s="1851"/>
      <c r="S9" s="447"/>
      <c r="T9" s="447"/>
      <c r="U9" s="447"/>
      <c r="V9" s="447"/>
    </row>
    <row s="22541" customFormat="1" customHeight="1" ht="0.75">
      <c r="A10" s="2235"/>
      <c r="B10" s="1593">
        <v>1</v>
      </c>
      <c r="C10" s="1593"/>
      <c r="D10" s="1022"/>
      <c r="E10" s="1017">
        <v>0</v>
      </c>
      <c r="F10" s="2119" t="str">
        <f>IF(ROIV_INFO_NAME="","",ROIV_INFO_NAME)</f>
        <v>КГУП "Примтеплоэнерго"</v>
      </c>
      <c r="G10" s="1960" t="s">
        <v>24</v>
      </c>
      <c r="H10" s="2131"/>
      <c r="I10" s="2131"/>
      <c r="J10" s="741"/>
      <c r="K10" s="741"/>
      <c r="L10" s="257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1863"/>
      <c r="O10" s="1863"/>
      <c r="P10" s="1851" t="str">
        <f t="array" ref="P10:P10">IF(ISERROR(MATCH(MID(Q10,1,250),MID(note_ter,1,250),0)),"n","y")</f>
        <v>n</v>
      </c>
      <c r="Q10" s="1863"/>
      <c r="R10" s="18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93"/>
      <c r="T10" s="1593"/>
      <c r="U10" s="642"/>
      <c r="V10" s="1593"/>
      <c r="W10" s="1593"/>
      <c r="X10" s="1593"/>
      <c r="Y10" s="1055"/>
      <c r="Z10" s="1055"/>
      <c r="AA10" s="849"/>
      <c r="AB10" s="849"/>
      <c r="AC10" s="849"/>
      <c r="AD10" s="849"/>
      <c r="AE10" s="849"/>
      <c r="AF10" s="849"/>
      <c r="AG10" s="849"/>
      <c r="AH10" s="849"/>
      <c r="AI10" s="849"/>
      <c r="AJ10" s="849"/>
      <c r="AK10" s="849"/>
      <c r="AL10" s="849"/>
      <c r="AM10" s="849"/>
      <c r="AN10" s="849"/>
      <c r="AO10" s="849"/>
      <c r="AP10" s="849"/>
      <c r="AQ10" s="849"/>
      <c r="AR10" s="849"/>
      <c r="AS10" s="849"/>
      <c r="AT10" s="849"/>
      <c r="AU10" s="849"/>
      <c r="AV10" s="849"/>
      <c r="AW10" s="849"/>
      <c r="AX10" s="849"/>
      <c r="AY10" s="849"/>
      <c r="AZ10" s="849"/>
      <c r="BA10" s="849"/>
      <c r="BB10" s="849"/>
      <c r="BC10" s="849"/>
      <c r="BD10" s="849"/>
      <c r="BE10" s="849"/>
      <c r="BF10" s="849"/>
      <c r="BG10" s="849"/>
      <c r="BH10" s="849"/>
      <c r="BI10" s="849"/>
      <c r="BJ10" s="849"/>
      <c r="BK10" s="849"/>
      <c r="BL10" s="849"/>
      <c r="BM10" s="849"/>
      <c r="BN10" s="849"/>
      <c r="BO10" s="849"/>
      <c r="BP10" s="849"/>
      <c r="BQ10" s="849"/>
      <c r="BR10" s="849"/>
      <c r="BS10" s="849"/>
      <c r="BT10" s="849"/>
      <c r="BU10" s="849"/>
      <c r="BV10" s="1055"/>
      <c r="BW10" s="1055"/>
      <c r="BX10" s="1055"/>
      <c r="BY10" s="1055"/>
      <c r="BZ10" s="1055"/>
      <c r="CA10" s="1055"/>
      <c r="CB10" s="1055"/>
      <c r="CC10" s="1055"/>
      <c r="CD10" s="1055"/>
      <c r="CE10" s="1055"/>
    </row>
    <row s="22541" customFormat="1" customHeight="1" ht="15">
      <c r="A11" s="2235"/>
      <c r="B11" s="1593"/>
      <c r="C11" s="634"/>
      <c r="D11" s="1023"/>
      <c r="E11" s="643"/>
      <c r="F11" s="873" t="s">
        <v>1899</v>
      </c>
      <c r="G11" s="409"/>
      <c r="H11" s="409"/>
      <c r="I11" s="409"/>
      <c r="J11" s="409"/>
      <c r="K11" s="646"/>
      <c r="L11" s="2604"/>
      <c r="M11" s="1763"/>
      <c r="N11" s="1863"/>
      <c r="O11" s="1863"/>
      <c r="P11" s="1863"/>
      <c r="Q11" s="1851"/>
      <c r="R11" s="1863"/>
      <c r="S11" s="1593"/>
      <c r="T11" s="1593"/>
      <c r="U11" s="642"/>
      <c r="V11" s="1593"/>
      <c r="W11" s="1593"/>
      <c r="X11" s="1593"/>
      <c r="Y11" s="1055"/>
      <c r="Z11" s="1055"/>
      <c r="AA11" s="849"/>
      <c r="AB11" s="849"/>
      <c r="AC11" s="849"/>
      <c r="AD11" s="849"/>
      <c r="AE11" s="849"/>
      <c r="AF11" s="849"/>
      <c r="AG11" s="849"/>
      <c r="AH11" s="849"/>
      <c r="AI11" s="849"/>
      <c r="AJ11" s="849"/>
      <c r="AK11" s="849"/>
      <c r="AL11" s="849"/>
      <c r="AM11" s="849"/>
      <c r="AN11" s="849"/>
      <c r="AO11" s="849"/>
      <c r="AP11" s="849"/>
      <c r="AQ11" s="849"/>
      <c r="AR11" s="849"/>
      <c r="AS11" s="849"/>
      <c r="AT11" s="849"/>
      <c r="AU11" s="849"/>
      <c r="AV11" s="849"/>
      <c r="AW11" s="849"/>
      <c r="AX11" s="849"/>
      <c r="AY11" s="849"/>
      <c r="AZ11" s="849"/>
      <c r="BA11" s="849"/>
      <c r="BB11" s="849"/>
      <c r="BC11" s="849"/>
      <c r="BD11" s="849"/>
      <c r="BE11" s="849"/>
      <c r="BF11" s="849"/>
      <c r="BG11" s="849"/>
      <c r="BH11" s="849"/>
      <c r="BI11" s="849"/>
      <c r="BJ11" s="849"/>
      <c r="BK11" s="849"/>
      <c r="BL11" s="849"/>
      <c r="BM11" s="849"/>
      <c r="BN11" s="849"/>
      <c r="BO11" s="849"/>
      <c r="BP11" s="849"/>
      <c r="BQ11" s="849"/>
      <c r="BR11" s="849"/>
      <c r="BS11" s="849"/>
      <c r="BT11" s="849"/>
      <c r="BU11" s="849"/>
      <c r="BV11" s="1055"/>
      <c r="BW11" s="1055"/>
      <c r="BX11" s="1055"/>
      <c r="BY11" s="1055"/>
      <c r="BZ11" s="1055"/>
      <c r="CA11" s="1055"/>
      <c r="CB11" s="1055"/>
      <c r="CC11" s="1055"/>
      <c r="CD11" s="1055"/>
      <c r="CE11" s="1055"/>
    </row>
    <row s="16194" customFormat="1" customHeight="1" ht="21">
      <c r="A12" s="1858"/>
      <c r="B12" s="1593"/>
      <c r="C12" s="1858"/>
      <c r="D12" s="1860"/>
      <c r="E12" s="403"/>
      <c r="F12" s="403"/>
      <c r="G12" s="403"/>
      <c r="H12" s="403"/>
      <c r="I12" s="403"/>
      <c r="J12" s="403"/>
      <c r="K12" s="403"/>
      <c r="L12" s="403"/>
      <c r="M12" s="1851"/>
      <c r="N12" s="1851"/>
      <c r="O12" s="1851"/>
      <c r="P12" s="1851"/>
      <c r="Q12" s="1851"/>
      <c r="R12" s="1851"/>
      <c r="S12" s="447"/>
      <c r="T12" s="447"/>
      <c r="U12" s="447"/>
      <c r="V12" s="447"/>
    </row>
    <row s="16194" customFormat="1" customHeight="1" ht="14.25">
      <c r="A13" s="1858"/>
      <c r="B13" s="1593"/>
      <c r="C13" s="1858"/>
      <c r="D13" s="1860"/>
      <c r="E13" s="1858"/>
      <c r="F13" s="1858"/>
      <c r="G13" s="1858"/>
      <c r="H13" s="1858"/>
      <c r="I13" s="1858"/>
      <c r="J13" s="1858"/>
      <c r="K13" s="1858"/>
      <c r="L13" s="1858"/>
      <c r="M13" s="1851"/>
      <c r="N13" s="1851"/>
      <c r="O13" s="1851"/>
      <c r="P13" s="1851"/>
      <c r="Q13" s="1851"/>
      <c r="R13" s="1851"/>
      <c r="S13" s="447"/>
      <c r="T13" s="447"/>
      <c r="U13" s="447"/>
      <c r="V13" s="447"/>
    </row>
    <row s="16194" customFormat="1" customHeight="1" ht="0.75">
      <c r="A14" s="1858"/>
      <c r="B14" s="1593"/>
      <c r="C14" s="1858"/>
      <c r="D14" s="1860"/>
      <c r="E14" s="1858"/>
      <c r="F14" s="1858"/>
      <c r="G14" s="1858"/>
      <c r="H14" s="1858"/>
      <c r="I14" s="1858"/>
      <c r="J14" s="1858"/>
      <c r="K14" s="1858"/>
      <c r="L14" s="1858"/>
      <c r="M14" s="1851"/>
      <c r="N14" s="1851"/>
      <c r="O14" s="1851"/>
      <c r="P14" s="1851"/>
      <c r="Q14" s="1851"/>
      <c r="R14" s="1851"/>
      <c r="S14" s="447"/>
      <c r="T14" s="447"/>
      <c r="U14" s="447"/>
      <c r="V14" s="447"/>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6C924E-D39A-7F35-6388-19E5D0E14B2C}" mc:Ignorable="x14ac xr xr2 xr3">
  <dimension ref="A1:P18"/>
  <sheetViews>
    <sheetView topLeftCell="A1" showGridLines="0" zoomScale="90" workbookViewId="0">
      <selection activeCell="A1" sqref="A1"/>
    </sheetView>
  </sheetViews>
  <sheetFormatPr defaultColWidth="9.140625" customHeight="1" defaultRowHeight="14.25"/>
  <cols>
    <col min="1" max="1" style="16635" width="9.140625" hidden="1"/>
    <col min="2" max="2" style="16550" width="9.140625" hidden="1"/>
    <col min="3" max="3" style="16635" width="3.7109375" hidden="1" customWidth="1"/>
    <col min="4" max="4" style="16405" width="3.8515625" customWidth="1"/>
    <col min="5" max="5" style="16635" width="6.28125" customWidth="1"/>
    <col min="6" max="6" style="16635" width="27.28125" customWidth="1"/>
    <col min="7" max="7" style="16635" width="29.28125" customWidth="1"/>
    <col min="8" max="8" style="16635" width="25.421875" customWidth="1"/>
    <col min="9" max="9" style="16635" width="5.57421875" customWidth="1"/>
    <col min="10" max="10" style="16635" width="6.57421875" customWidth="1"/>
    <col min="11" max="11" style="16635" width="41.8515625" customWidth="1"/>
    <col min="12" max="12" style="16635" width="42.421875" customWidth="1"/>
    <col min="13" max="13" style="16635" width="41.57421875" customWidth="1"/>
    <col min="14" max="14" style="16676" width="89.57421875" customWidth="1"/>
    <col min="15" max="15" style="22523" width="3.7109375" customWidth="1"/>
    <col min="16" max="16" style="22523" width="9.140625"/>
  </cols>
  <sheetData>
    <row customHeight="1" ht="14.25" hidden="1"/>
    <row s="15824" customFormat="1" customHeight="1" ht="22.5" hidden="1">
      <c r="A2" s="718"/>
      <c r="B2" s="1384">
        <v>1</v>
      </c>
      <c r="C2" s="1384"/>
      <c r="D2" s="2156" t="s">
        <v>100</v>
      </c>
      <c r="E2" s="2253">
        <v>1</v>
      </c>
      <c r="F2" s="2618" t="str">
        <f>IF(region_name="","",region_name)</f>
        <v>Приморский край</v>
      </c>
      <c r="G2" s="2619"/>
      <c r="H2" s="2620"/>
      <c r="I2" s="696"/>
      <c r="J2" s="2138">
        <v>1</v>
      </c>
      <c r="K2" s="2140"/>
      <c r="L2" s="2140"/>
      <c r="M2" s="2140"/>
      <c r="N2" s="714"/>
      <c r="O2" s="1762"/>
      <c r="P2" s="733"/>
    </row>
    <row s="15824" customFormat="1" customHeight="1" ht="22.5" hidden="1">
      <c r="A3" s="1053"/>
      <c r="B3" s="1384"/>
      <c r="C3" s="1384"/>
      <c r="D3" s="1023"/>
      <c r="E3" s="2253"/>
      <c r="F3" s="2618"/>
      <c r="G3" s="2619"/>
      <c r="H3" s="2621"/>
      <c r="I3" s="643"/>
      <c r="J3" s="1727"/>
      <c r="K3" s="1727" t="s">
        <v>1903</v>
      </c>
      <c r="L3" s="1770"/>
      <c r="M3" s="2148"/>
      <c r="N3" s="2141"/>
      <c r="O3" s="1762"/>
      <c r="P3" s="733"/>
    </row>
    <row s="16622" customFormat="1" customHeight="1" ht="5.25" hidden="1">
      <c r="A4" s="718"/>
      <c r="D4" s="716"/>
      <c r="F4" s="469" t="s">
        <v>79</v>
      </c>
      <c r="G4" s="716" t="s">
        <v>80</v>
      </c>
      <c r="H4" s="716"/>
      <c r="I4" s="2151"/>
      <c r="J4" s="1771"/>
      <c r="K4" s="2139"/>
      <c r="L4" s="2139"/>
      <c r="M4" s="2139"/>
      <c r="N4" s="2135"/>
      <c r="O4" s="469" t="s">
        <v>79</v>
      </c>
      <c r="P4" s="469"/>
    </row>
    <row s="22541" customFormat="1" customHeight="1" ht="22.5" hidden="1">
      <c r="A5" s="1868"/>
      <c r="B5" s="1593">
        <v>1</v>
      </c>
      <c r="C5" s="1593"/>
      <c r="D5" s="1023"/>
      <c r="E5" s="2141"/>
      <c r="F5" s="2141"/>
      <c r="G5" s="2141"/>
      <c r="H5" s="2152"/>
      <c r="I5" s="2157" t="s">
        <v>100</v>
      </c>
      <c r="J5" s="2150">
        <v>1</v>
      </c>
      <c r="K5" s="2140"/>
      <c r="L5" s="2140"/>
      <c r="M5" s="2140"/>
      <c r="N5" s="714"/>
      <c r="O5" s="1762"/>
      <c r="P5" s="1863"/>
    </row>
    <row s="15815" customFormat="1" customHeight="1" ht="14.25">
      <c r="A6" s="1379"/>
      <c r="B6" s="1384"/>
      <c r="C6" s="1379"/>
      <c r="D6" s="1722"/>
      <c r="E6" s="731"/>
      <c r="F6" s="731"/>
      <c r="G6" s="731"/>
      <c r="H6" s="731"/>
      <c r="I6" s="731"/>
      <c r="J6" s="731"/>
      <c r="K6" s="731"/>
      <c r="L6" s="731"/>
      <c r="M6" s="731"/>
      <c r="N6" s="1862"/>
      <c r="O6" s="469"/>
      <c r="P6" s="722"/>
    </row>
    <row s="15815" customFormat="1" customHeight="1" ht="25.5">
      <c r="A7" s="1379"/>
      <c r="B7" s="1384"/>
      <c r="C7" s="1379"/>
      <c r="D7" s="1722"/>
      <c r="E7" s="261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12"/>
      <c r="G7" s="2612"/>
      <c r="H7" s="2612"/>
      <c r="I7" s="2612"/>
      <c r="J7" s="2612"/>
      <c r="K7" s="2612"/>
      <c r="L7" s="2612"/>
      <c r="M7" s="2612"/>
      <c r="N7" s="1478"/>
      <c r="O7" s="469"/>
      <c r="P7" s="722"/>
    </row>
    <row s="15815" customFormat="1" customHeight="1" ht="14.25">
      <c r="A8" s="1379"/>
      <c r="B8" s="1384"/>
      <c r="C8" s="1379"/>
      <c r="D8" s="1722"/>
      <c r="E8" s="731"/>
      <c r="F8" s="390"/>
      <c r="G8" s="390"/>
      <c r="H8" s="390"/>
      <c r="I8" s="390"/>
      <c r="J8" s="390"/>
      <c r="K8" s="390"/>
      <c r="L8" s="390"/>
      <c r="M8" s="390"/>
      <c r="N8" s="838"/>
      <c r="O8" s="722"/>
      <c r="P8" s="722"/>
    </row>
    <row s="22570" customFormat="1" customHeight="1" ht="14.25" hidden="1">
      <c r="A9" s="1695"/>
      <c r="B9" s="1705"/>
      <c r="C9" s="1695"/>
      <c r="D9" s="1722"/>
      <c r="E9" s="2142"/>
      <c r="F9" s="2142"/>
      <c r="G9" s="2142"/>
      <c r="H9" s="2142"/>
      <c r="I9" s="2615"/>
      <c r="J9" s="2615"/>
      <c r="K9" s="2615"/>
      <c r="L9" s="2142"/>
      <c r="M9" s="2143"/>
      <c r="O9" s="1772"/>
      <c r="P9" s="1772"/>
    </row>
    <row s="15815" customFormat="1" customHeight="1" ht="14.25">
      <c r="A10" s="1379"/>
      <c r="B10" s="1384"/>
      <c r="C10" s="1379"/>
      <c r="D10" s="1722"/>
      <c r="E10" s="2253" t="s">
        <v>406</v>
      </c>
      <c r="F10" s="2253"/>
      <c r="G10" s="2253"/>
      <c r="H10" s="2253"/>
      <c r="I10" s="2253"/>
      <c r="J10" s="2253"/>
      <c r="K10" s="2253"/>
      <c r="L10" s="2253"/>
      <c r="M10" s="2237"/>
      <c r="N10" s="2605" t="s">
        <v>407</v>
      </c>
      <c r="O10" s="722"/>
      <c r="P10" s="722"/>
    </row>
    <row s="16194" customFormat="1" customHeight="1" ht="42">
      <c r="A11" s="1858"/>
      <c r="B11" s="1593"/>
      <c r="C11" s="1858"/>
      <c r="D11" s="1742"/>
      <c r="E11" s="2614" t="s">
        <v>84</v>
      </c>
      <c r="F11" s="2614" t="s">
        <v>410</v>
      </c>
      <c r="G11" s="2614" t="s">
        <v>1904</v>
      </c>
      <c r="H11" s="2614"/>
      <c r="I11" s="2614" t="s">
        <v>1905</v>
      </c>
      <c r="J11" s="2614"/>
      <c r="K11" s="2614"/>
      <c r="L11" s="2614" t="s">
        <v>1906</v>
      </c>
      <c r="M11" s="2607" t="s">
        <v>1907</v>
      </c>
      <c r="N11" s="2613"/>
      <c r="O11" s="1851"/>
      <c r="P11" s="1851"/>
    </row>
    <row s="15815" customFormat="1" customHeight="1" ht="27.75">
      <c r="A12" s="1379"/>
      <c r="B12" s="1384"/>
      <c r="C12" s="1379"/>
      <c r="D12" s="1722"/>
      <c r="E12" s="2605"/>
      <c r="F12" s="2614"/>
      <c r="G12" s="2137" t="s">
        <v>1908</v>
      </c>
      <c r="H12" s="2137" t="s">
        <v>414</v>
      </c>
      <c r="I12" s="2614"/>
      <c r="J12" s="2614"/>
      <c r="K12" s="2614"/>
      <c r="L12" s="2614"/>
      <c r="M12" s="2607"/>
      <c r="N12" s="2606"/>
      <c r="O12" s="722"/>
      <c r="P12" s="722"/>
    </row>
    <row s="15824" customFormat="1" customHeight="1" ht="22.5">
      <c r="A13" s="2235">
        <v>26379339</v>
      </c>
      <c r="B13" s="1384">
        <v>1</v>
      </c>
      <c r="C13" s="1384"/>
      <c r="D13" s="1023"/>
      <c r="E13" s="2253">
        <v>1</v>
      </c>
      <c r="F13" s="2622" t="str">
        <f>IF(region_name="","",region_name)</f>
        <v>Приморский край</v>
      </c>
      <c r="G13" s="2623"/>
      <c r="H13" s="2616"/>
      <c r="I13" s="696"/>
      <c r="J13" s="2133">
        <v>1</v>
      </c>
      <c r="K13" s="2146"/>
      <c r="L13" s="2147"/>
      <c r="M13" s="2147"/>
      <c r="N13" s="2610" t="s">
        <v>1909</v>
      </c>
      <c r="O13" s="1762"/>
      <c r="P13" s="733"/>
    </row>
    <row s="15824" customFormat="1" customHeight="1" ht="22.5">
      <c r="A14" s="2235"/>
      <c r="B14" s="1384"/>
      <c r="C14" s="1384"/>
      <c r="D14" s="1023"/>
      <c r="E14" s="2253"/>
      <c r="F14" s="2622"/>
      <c r="G14" s="2623"/>
      <c r="H14" s="2617"/>
      <c r="I14" s="643"/>
      <c r="J14" s="1727"/>
      <c r="K14" s="1727" t="s">
        <v>1903</v>
      </c>
      <c r="L14" s="1770"/>
      <c r="M14" s="1770"/>
      <c r="N14" s="2611"/>
      <c r="O14" s="1762"/>
      <c r="P14" s="733"/>
    </row>
    <row s="15824" customFormat="1" customHeight="1" ht="22.5">
      <c r="A15" s="2235"/>
      <c r="B15" s="1384"/>
      <c r="C15" s="634"/>
      <c r="D15" s="1023"/>
      <c r="E15" s="643"/>
      <c r="F15" s="1727" t="s">
        <v>1895</v>
      </c>
      <c r="G15" s="1769"/>
      <c r="H15" s="1769"/>
      <c r="I15" s="409"/>
      <c r="J15" s="409"/>
      <c r="K15" s="409"/>
      <c r="L15" s="409"/>
      <c r="M15" s="409"/>
      <c r="N15" s="2611"/>
      <c r="O15" s="1763"/>
      <c r="P15" s="733"/>
    </row>
    <row s="15815" customFormat="1" customHeight="1" ht="21">
      <c r="A16" s="1379"/>
      <c r="B16" s="1384"/>
      <c r="C16" s="1379"/>
      <c r="D16" s="673"/>
      <c r="E16" s="403"/>
      <c r="F16" s="403"/>
      <c r="G16" s="403"/>
      <c r="H16" s="403"/>
      <c r="I16" s="403"/>
      <c r="J16" s="403"/>
      <c r="K16" s="403"/>
      <c r="L16" s="403"/>
      <c r="M16" s="731"/>
      <c r="N16" s="1862"/>
      <c r="O16" s="722"/>
      <c r="P16" s="722"/>
    </row>
    <row s="15815" customFormat="1" customHeight="1" ht="14.25">
      <c r="A17" s="1379"/>
      <c r="B17" s="1384"/>
      <c r="C17" s="1379"/>
      <c r="D17" s="673"/>
      <c r="E17" s="1379"/>
      <c r="F17" s="1379"/>
      <c r="G17" s="1379"/>
      <c r="H17" s="1379"/>
      <c r="I17" s="1379"/>
      <c r="J17" s="1379"/>
      <c r="K17" s="1379"/>
      <c r="L17" s="1379"/>
      <c r="M17" s="1379"/>
      <c r="N17" s="1858"/>
      <c r="O17" s="722"/>
      <c r="P17" s="722"/>
    </row>
    <row s="15815" customFormat="1" customHeight="1" ht="0.75">
      <c r="A18" s="1379"/>
      <c r="B18" s="1384"/>
      <c r="C18" s="1379"/>
      <c r="D18" s="673"/>
      <c r="E18" s="1379"/>
      <c r="F18" s="1379"/>
      <c r="G18" s="1379"/>
      <c r="H18" s="1379"/>
      <c r="I18" s="1379"/>
      <c r="J18" s="1379"/>
      <c r="K18" s="1379"/>
      <c r="L18" s="1379"/>
      <c r="M18" s="1379"/>
      <c r="N18" s="1858"/>
      <c r="O18" s="722"/>
      <c r="P18" s="722"/>
    </row>
  </sheetData>
  <sheetProtection formatColumns="0" formatRows="0" autoFilter="0" sort="0" insertRows="0" insertColumns="1" deleteRows="0" deleteColumns="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6C6E62-C3A9-0722-A0B6-58CE0B4B3603}"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22591" width="9.140625" hidden="1"/>
    <col min="2" max="2" style="22609" width="9.140625" hidden="1"/>
    <col min="3" max="3" style="22610" width="3.7109375" customWidth="1"/>
    <col min="4" max="4" style="22611" width="7.00390625" customWidth="1"/>
    <col min="5" max="5" style="22611" width="23.140625" customWidth="1"/>
    <col min="6" max="6" style="22611" width="16.00390625" customWidth="1"/>
    <col min="7" max="7" style="22611" width="14.8515625" customWidth="1"/>
    <col min="8" max="8" style="22611" width="47.8515625" customWidth="1"/>
    <col min="9" max="9" style="22611" width="115.7109375" customWidth="1"/>
    <col min="10" max="10" style="22611" width="3.7109375" customWidth="1"/>
    <col min="11" max="12" style="22611" width="9.140625"/>
  </cols>
  <sheetData>
    <row customHeight="1" ht="14.25" hidden="1"/>
    <row customHeight="1" ht="14.25" hidden="1"/>
    <row customHeight="1" ht="14.25" hidden="1"/>
    <row customHeight="1" ht="3"/>
    <row s="15864" customFormat="1" customHeight="1" ht="30">
      <c r="A5" s="338"/>
      <c r="C5" s="312"/>
      <c r="D5" s="2236" t="s">
        <v>1910</v>
      </c>
      <c r="E5" s="2236"/>
      <c r="F5" s="2236"/>
      <c r="G5" s="2236"/>
      <c r="H5" s="2236"/>
      <c r="I5" s="487"/>
    </row>
    <row customHeight="1" ht="3" hidden="1">
      <c r="D6" s="345"/>
      <c r="E6" s="345"/>
      <c r="F6" s="345"/>
      <c r="G6" s="345"/>
      <c r="H6" s="345"/>
      <c r="I6" s="345"/>
    </row>
    <row s="22591" customFormat="1" customHeight="1" ht="14.25">
      <c r="B7" s="342"/>
      <c r="C7" s="343"/>
      <c r="D7" s="346"/>
      <c r="E7" s="346"/>
      <c r="F7" s="346"/>
      <c r="G7" s="346"/>
      <c r="H7" s="974"/>
      <c r="I7" s="346"/>
      <c r="J7" s="347"/>
    </row>
    <row customHeight="1" ht="14.25">
      <c r="D8" s="2343" t="s">
        <v>406</v>
      </c>
      <c r="E8" s="2343"/>
      <c r="F8" s="2343"/>
      <c r="G8" s="2343"/>
      <c r="H8" s="2343"/>
      <c r="I8" s="2343" t="s">
        <v>407</v>
      </c>
    </row>
    <row customHeight="1" ht="27.75">
      <c r="D9" s="2343" t="s">
        <v>84</v>
      </c>
      <c r="E9" s="2343" t="s">
        <v>1911</v>
      </c>
      <c r="F9" s="2343"/>
      <c r="G9" s="2343"/>
      <c r="H9" s="2343"/>
      <c r="I9" s="2343"/>
    </row>
    <row customHeight="1" ht="22.5">
      <c r="D10" s="2343"/>
      <c r="E10" s="350" t="s">
        <v>1912</v>
      </c>
      <c r="F10" s="350" t="s">
        <v>1913</v>
      </c>
      <c r="G10" s="350" t="s">
        <v>1914</v>
      </c>
      <c r="H10" s="350" t="s">
        <v>496</v>
      </c>
      <c r="I10" s="2343"/>
    </row>
    <row customHeight="1" ht="12" hidden="1">
      <c r="D11" s="309" t="s">
        <v>168</v>
      </c>
      <c r="E11" s="309" t="s">
        <v>87</v>
      </c>
      <c r="F11" s="309" t="s">
        <v>113</v>
      </c>
      <c r="G11" s="309" t="s">
        <v>88</v>
      </c>
      <c r="H11" s="309" t="s">
        <v>89</v>
      </c>
      <c r="I11" s="309" t="s">
        <v>126</v>
      </c>
    </row>
    <row s="22597" customFormat="1" customHeight="1" ht="24.75">
      <c r="A12" s="368" t="s">
        <v>86</v>
      </c>
      <c r="B12" s="348" t="s">
        <v>24</v>
      </c>
      <c r="C12" s="349"/>
      <c r="D12" s="351" t="s">
        <v>168</v>
      </c>
      <c r="E12" s="603"/>
      <c r="F12" s="603"/>
      <c r="G12" s="1961" t="s">
        <v>24</v>
      </c>
      <c r="H12" s="604"/>
      <c r="I12" s="2297" t="s">
        <v>1915</v>
      </c>
      <c r="K12" s="494"/>
      <c r="L12" s="495"/>
    </row>
    <row customHeight="1" ht="15">
      <c r="A13" s="344"/>
      <c r="B13" s="344"/>
      <c r="C13" s="344"/>
      <c r="D13" s="332"/>
      <c r="E13" s="353" t="s">
        <v>571</v>
      </c>
      <c r="F13" s="352"/>
      <c r="G13" s="352"/>
      <c r="H13" s="436"/>
      <c r="I13" s="2299"/>
    </row>
    <row customHeight="1" ht="3">
      <c r="A14" s="344"/>
      <c r="B14" s="344"/>
      <c r="C14" s="344"/>
    </row>
    <row customHeight="1" ht="27.75">
      <c r="E15" s="2624" t="s">
        <v>1916</v>
      </c>
      <c r="F15" s="2624"/>
      <c r="G15" s="2624"/>
      <c r="H15" s="262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1B9D98-B4D7-6531-2808-A0E4297B927F}" mc:Ignorable="x14ac xr xr2 xr3">
  <sheetPr>
    <tabColor rgb="FFCCCCFF"/>
    <pageSetUpPr fitToPage="1"/>
  </sheetPr>
  <dimension ref="A1:I15"/>
  <sheetViews>
    <sheetView topLeftCell="A1" showGridLines="0" zoomScale="90" workbookViewId="0">
      <selection activeCell="E12" sqref="E12"/>
    </sheetView>
  </sheetViews>
  <sheetFormatPr defaultColWidth="9.140625" customHeight="1" defaultRowHeight="14.25"/>
  <cols>
    <col min="1" max="2" style="22628" width="9.140625" hidden="1"/>
    <col min="3" max="3" style="22629" width="3.7109375" customWidth="1"/>
    <col min="4" max="4" style="22628" width="6.28125" customWidth="1"/>
    <col min="5" max="5" style="22628" width="94.8515625" customWidth="1"/>
    <col min="6" max="9" style="22628" width="9.140625"/>
  </cols>
  <sheetData>
    <row customHeight="1" ht="14.25" hidden="1"/>
    <row customHeight="1" ht="14.25" hidden="1"/>
    <row customHeight="1" ht="14.25" hidden="1"/>
    <row customHeight="1" ht="14.25" hidden="1"/>
    <row customHeight="1" ht="14.25" hidden="1"/>
    <row customHeight="1" ht="3">
      <c r="C6" s="314"/>
      <c r="D6" s="292"/>
      <c r="E6" s="292"/>
    </row>
    <row customHeight="1" ht="22.5">
      <c r="C7" s="314"/>
      <c r="D7" s="2625" t="s">
        <v>1917</v>
      </c>
      <c r="E7" s="2626"/>
      <c r="F7" s="489"/>
    </row>
    <row customHeight="1" ht="3">
      <c r="C8" s="314"/>
      <c r="D8" s="292"/>
      <c r="E8" s="292"/>
    </row>
    <row customHeight="1" ht="15.75">
      <c r="C9" s="314"/>
      <c r="D9" s="328" t="s">
        <v>84</v>
      </c>
      <c r="E9" s="482" t="s">
        <v>1918</v>
      </c>
    </row>
    <row customHeight="1" ht="0.75">
      <c r="C10" s="314"/>
      <c r="D10" s="309"/>
      <c r="E10" s="309"/>
    </row>
    <row customHeight="1" ht="11.25" hidden="1">
      <c r="C11" s="314"/>
      <c r="D11" s="373">
        <v>0</v>
      </c>
      <c r="E11" s="483"/>
    </row>
    <row customHeight="1" ht="25.03551483154297">
      <c r="C12" s="359"/>
      <c r="D12" s="336">
        <v>1</v>
      </c>
      <c r="E12" s="599" t="s">
        <v>1919</v>
      </c>
    </row>
    <row customHeight="1" ht="12">
      <c r="C13" s="314"/>
      <c r="D13" s="484"/>
      <c r="E13" s="485" t="s">
        <v>1920</v>
      </c>
    </row>
    <row customHeight="1" ht="3"/>
    <row customHeight="1" ht="22.5">
      <c r="C15" s="360"/>
      <c r="D15" s="2627" t="s">
        <v>1921</v>
      </c>
      <c r="E15" s="2627"/>
      <c r="F15" s="361"/>
      <c r="G15" s="361"/>
      <c r="H15" s="361"/>
      <c r="I15" s="361"/>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DFB6A4-F7C4-F76C-29E3-31FB9BC04258}"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22628" width="9.140625" hidden="1"/>
    <col min="3" max="3" style="22629" width="3.7109375" customWidth="1"/>
    <col min="4" max="4" style="22628" width="6.28125" customWidth="1"/>
    <col min="5" max="5" style="22628" width="94.8515625" customWidth="1"/>
    <col min="6" max="12" style="22628" width="9.140625"/>
  </cols>
  <sheetData>
    <row customHeight="1" ht="14.25" hidden="1">
      <c r="L1" s="486"/>
    </row>
    <row customHeight="1" ht="14.25" hidden="1"/>
    <row customHeight="1" ht="14.25" hidden="1"/>
    <row customHeight="1" ht="14.25" hidden="1"/>
    <row customHeight="1" ht="14.25" hidden="1"/>
    <row customHeight="1" ht="3">
      <c r="C6" s="314"/>
      <c r="D6" s="292"/>
      <c r="E6" s="292"/>
    </row>
    <row customHeight="1" ht="22.5">
      <c r="C7" s="314"/>
      <c r="D7" s="2236" t="s">
        <v>1922</v>
      </c>
      <c r="E7" s="2236"/>
      <c r="F7" s="489"/>
    </row>
    <row customHeight="1" ht="3">
      <c r="C8" s="314"/>
      <c r="D8" s="292"/>
      <c r="E8" s="292"/>
    </row>
    <row customHeight="1" ht="15.75">
      <c r="C9" s="314"/>
      <c r="D9" s="328" t="s">
        <v>84</v>
      </c>
      <c r="E9" s="331" t="s">
        <v>393</v>
      </c>
    </row>
    <row customHeight="1" ht="12">
      <c r="C10" s="314"/>
      <c r="D10" s="309" t="s">
        <v>168</v>
      </c>
      <c r="E10" s="309" t="s">
        <v>99</v>
      </c>
    </row>
    <row customHeight="1" ht="15" hidden="1">
      <c r="C11" s="314"/>
      <c r="D11" s="336">
        <v>0</v>
      </c>
      <c r="E11" s="372"/>
    </row>
    <row customHeight="1" ht="14.25">
      <c r="C12" s="314"/>
      <c r="D12" s="332"/>
      <c r="E12" s="330" t="s">
        <v>1920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7248BD-57B8-1083-5643-9268F158E6C3}"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2636" width="1.7109375" customWidth="1"/>
    <col min="2" max="2" style="22636" width="34.57421875" customWidth="1"/>
    <col min="3" max="3" style="22636" width="85.57421875" customWidth="1"/>
    <col min="4" max="4" style="22636" width="17.7109375" customWidth="1"/>
    <col min="5" max="5" style="22636" width="9.140625"/>
  </cols>
  <sheetData>
    <row customHeight="1" ht="3"/>
    <row customHeight="1" ht="22.5">
      <c r="B2" s="2628" t="s">
        <v>1923</v>
      </c>
      <c r="C2" s="2628"/>
      <c r="D2" s="2628"/>
      <c r="E2" s="490"/>
    </row>
    <row customHeight="1" ht="3"/>
    <row customHeight="1" ht="21.75">
      <c r="B4" s="605" t="s">
        <v>1924</v>
      </c>
      <c r="C4" s="605" t="s">
        <v>1925</v>
      </c>
      <c r="D4" s="605" t="s">
        <v>1926</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C48D99-175F-8E5E-A8CD-AEEBE809F1FA}" mc:Ignorable="x14ac xr xr2 xr3">
  <sheetPr>
    <tabColor rgb="FFFFCC99"/>
  </sheetPr>
  <dimension ref="A1:GB215"/>
  <sheetViews>
    <sheetView topLeftCell="A1" showGridLines="0" zoomScale="85" workbookViewId="0">
      <selection activeCell="A1" sqref="A1"/>
    </sheetView>
  </sheetViews>
  <sheetFormatPr customHeight="1" defaultRowHeight="17.1"/>
  <cols>
    <col min="1" max="1" style="22636" width="26.57421875" customWidth="1"/>
    <col min="2" max="2" style="22636" width="10.00390625" customWidth="1"/>
    <col min="3" max="3" style="22636" width="9.140625"/>
    <col min="4" max="4" style="22636" width="11.140625" customWidth="1"/>
    <col min="5" max="5" style="22636" width="16.57421875" customWidth="1"/>
    <col min="6" max="6" style="22636" width="16.28125" customWidth="1"/>
    <col min="7" max="7" style="22636" width="19.140625" customWidth="1"/>
    <col min="8" max="11" style="22636" width="10.00390625" customWidth="1"/>
    <col min="12" max="12" style="22636" width="12.7109375" customWidth="1"/>
    <col min="13" max="13" style="22636" width="61.28125" customWidth="1"/>
    <col min="14" max="14" style="22636" width="10.00390625" customWidth="1"/>
    <col min="15" max="17" style="22636" width="23.7109375" customWidth="1"/>
    <col min="18" max="18" style="22636" width="11.7109375" customWidth="1"/>
    <col min="19" max="19" style="22636" width="8.57421875" customWidth="1"/>
    <col min="20" max="20" style="22636" width="11.7109375" customWidth="1"/>
    <col min="21" max="21" style="22636" width="8.57421875" customWidth="1"/>
    <col min="22" max="22" style="22636" width="4.7109375" customWidth="1"/>
    <col min="23" max="23" style="22636" width="115.7109375" customWidth="1"/>
    <col min="24" max="24" style="22636" width="115.28125" customWidth="1"/>
    <col min="25" max="27" style="22636" width="9.140625"/>
    <col min="28" max="28" style="22636" width="115.7109375" customWidth="1"/>
    <col min="29" max="29" style="22636" width="9.140625"/>
    <col min="30" max="90" style="22636" width="115.7109375" customWidth="1"/>
    <col min="91" max="184" style="22636" width="9.140625"/>
  </cols>
  <sheetData>
    <row r="2" s="22637" customFormat="1" customHeight="1" ht="17.25">
      <c r="A2" s="2042" t="s">
        <v>1927</v>
      </c>
    </row>
    <row r="4" s="22628" customFormat="1" customHeight="1" ht="15">
      <c r="C4" s="2043"/>
      <c r="D4" s="336"/>
      <c r="E4" s="599"/>
    </row>
    <row r="6" s="22637" customFormat="1" customHeight="1" ht="17.25">
      <c r="A6" s="2042" t="s">
        <v>1928</v>
      </c>
    </row>
    <row r="8" s="22628" customFormat="1" customHeight="1" ht="17.25">
      <c r="C8" s="2044"/>
      <c r="D8" s="336"/>
      <c r="E8" s="337"/>
    </row>
    <row r="11" s="22637" customFormat="1" customHeight="1" ht="17.25">
      <c r="A11" s="2042" t="s">
        <v>1929</v>
      </c>
    </row>
    <row r="13" s="22642" customFormat="1" customHeight="1" ht="15">
      <c r="A13" s="2363">
        <v>1</v>
      </c>
      <c r="B13" s="1384"/>
      <c r="C13" s="1023" t="s">
        <v>100</v>
      </c>
      <c r="D13" s="2045"/>
      <c r="E13" s="2032">
        <f>A13</f>
        <v>1</v>
      </c>
      <c r="F13" s="1026"/>
      <c r="G13" s="762" t="str">
        <f>"Территория "&amp;E13</f>
        <v>Территория 1</v>
      </c>
      <c r="H13" s="1014"/>
      <c r="I13" s="1014"/>
      <c r="J13" s="1011"/>
      <c r="K13" s="1851"/>
      <c r="L13" s="1851"/>
      <c r="M13" s="1851"/>
      <c r="N13" s="448"/>
      <c r="O13" s="1851"/>
      <c r="P13" s="447"/>
      <c r="Q13" s="447"/>
      <c r="R13" s="447"/>
      <c r="S13" s="447"/>
    </row>
    <row s="15824" customFormat="1" customHeight="1" ht="15">
      <c r="A14" s="2363"/>
      <c r="B14" s="1384">
        <v>1</v>
      </c>
      <c r="C14" s="1384"/>
      <c r="D14" s="1022"/>
      <c r="E14" s="2040" t="str">
        <f>A13&amp;"."&amp;B14</f>
        <v>1.1</v>
      </c>
      <c r="F14" s="1025">
        <f>$F$20</f>
        <v>0</v>
      </c>
      <c r="G14" s="1015"/>
      <c r="H14" s="1015"/>
      <c r="I14" s="1013"/>
      <c r="J14" s="1851"/>
      <c r="K14" s="1863"/>
      <c r="L14" s="1863"/>
      <c r="M14" s="1851" t="str">
        <f t="array" ref="M14:M14">IF(ISERROR(MATCH(MID(N14,1,250),MID(note_ter,1,250),0)),"n","y")</f>
        <v>n</v>
      </c>
      <c r="N14" s="1863"/>
      <c r="O14" s="1851" t="str">
        <f>H14&amp;"("&amp;I14&amp;")"</f>
        <v>()</v>
      </c>
      <c r="P14" s="1384"/>
      <c r="Q14" s="1384"/>
      <c r="R14" s="642"/>
      <c r="S14" s="1384"/>
      <c r="T14" s="1384"/>
      <c r="U14" s="1384"/>
      <c r="V14" s="644"/>
      <c r="W14" s="644"/>
      <c r="X14" s="641"/>
      <c r="Y14" s="641"/>
      <c r="Z14" s="641"/>
      <c r="AA14" s="641"/>
      <c r="AB14" s="641"/>
      <c r="AC14" s="641"/>
      <c r="AD14" s="641"/>
      <c r="AE14" s="641"/>
      <c r="AF14" s="641"/>
      <c r="AG14" s="641"/>
      <c r="AH14" s="641"/>
      <c r="AI14" s="641"/>
      <c r="AJ14" s="641"/>
      <c r="AK14" s="641"/>
      <c r="AL14" s="641"/>
      <c r="AM14" s="641"/>
      <c r="AN14" s="641"/>
      <c r="AO14" s="641"/>
      <c r="AP14" s="641"/>
      <c r="AQ14" s="641"/>
      <c r="AR14" s="641"/>
      <c r="AS14" s="641"/>
      <c r="AT14" s="641"/>
      <c r="AU14" s="641"/>
      <c r="AV14" s="641"/>
      <c r="AW14" s="641"/>
      <c r="AX14" s="641"/>
      <c r="AY14" s="641"/>
      <c r="AZ14" s="641"/>
      <c r="BA14" s="641"/>
      <c r="BB14" s="641"/>
      <c r="BC14" s="641"/>
      <c r="BD14" s="641"/>
      <c r="BE14" s="641"/>
      <c r="BF14" s="641"/>
      <c r="BG14" s="641"/>
      <c r="BH14" s="641"/>
      <c r="BI14" s="641"/>
      <c r="BJ14" s="641"/>
      <c r="BK14" s="641"/>
      <c r="BL14" s="641"/>
      <c r="BM14" s="641"/>
      <c r="BN14" s="641"/>
      <c r="BO14" s="641"/>
      <c r="BP14" s="641"/>
      <c r="BQ14" s="641"/>
      <c r="BR14" s="641"/>
      <c r="BS14" s="644"/>
      <c r="BT14" s="644"/>
      <c r="BU14" s="644"/>
      <c r="BV14" s="644"/>
      <c r="BW14" s="644"/>
      <c r="BX14" s="644"/>
      <c r="BY14" s="644"/>
      <c r="BZ14" s="644"/>
      <c r="CA14" s="644"/>
      <c r="CB14" s="644"/>
    </row>
    <row s="15824" customFormat="1" customHeight="1" ht="15">
      <c r="A15" s="2363"/>
      <c r="B15" s="1384"/>
      <c r="C15" s="634"/>
      <c r="D15" s="1023"/>
      <c r="E15" s="643"/>
      <c r="F15" s="400"/>
      <c r="G15" s="637" t="s">
        <v>98</v>
      </c>
      <c r="H15" s="409"/>
      <c r="I15" s="646"/>
      <c r="J15" s="1863"/>
      <c r="K15" s="1863"/>
      <c r="L15" s="1863"/>
      <c r="M15" s="1863"/>
      <c r="N15" s="1851"/>
      <c r="O15" s="1863"/>
      <c r="P15" s="1384"/>
      <c r="Q15" s="1384"/>
      <c r="R15" s="642"/>
      <c r="S15" s="1384"/>
      <c r="T15" s="1384"/>
      <c r="U15" s="1384"/>
      <c r="V15" s="644"/>
      <c r="W15" s="644"/>
      <c r="X15" s="641"/>
      <c r="Y15" s="641"/>
      <c r="Z15" s="641"/>
      <c r="AA15" s="641"/>
      <c r="AB15" s="641"/>
      <c r="AC15" s="641"/>
      <c r="AD15" s="641"/>
      <c r="AE15" s="641"/>
      <c r="AF15" s="641"/>
      <c r="AG15" s="641"/>
      <c r="AH15" s="641"/>
      <c r="AI15" s="641"/>
      <c r="AJ15" s="641"/>
      <c r="AK15" s="641"/>
      <c r="AL15" s="641"/>
      <c r="AM15" s="641"/>
      <c r="AN15" s="641"/>
      <c r="AO15" s="641"/>
      <c r="AP15" s="641"/>
      <c r="AQ15" s="641"/>
      <c r="AR15" s="641"/>
      <c r="AS15" s="641"/>
      <c r="AT15" s="641"/>
      <c r="AU15" s="641"/>
      <c r="AV15" s="641"/>
      <c r="AW15" s="641"/>
      <c r="AX15" s="641"/>
      <c r="AY15" s="641"/>
      <c r="AZ15" s="641"/>
      <c r="BA15" s="641"/>
      <c r="BB15" s="641"/>
      <c r="BC15" s="641"/>
      <c r="BD15" s="641"/>
      <c r="BE15" s="641"/>
      <c r="BF15" s="641"/>
      <c r="BG15" s="641"/>
      <c r="BH15" s="641"/>
      <c r="BI15" s="641"/>
      <c r="BJ15" s="641"/>
      <c r="BK15" s="641"/>
      <c r="BL15" s="641"/>
      <c r="BM15" s="641"/>
      <c r="BN15" s="641"/>
      <c r="BO15" s="641"/>
      <c r="BP15" s="641"/>
      <c r="BQ15" s="641"/>
      <c r="BR15" s="641"/>
      <c r="BS15" s="644"/>
      <c r="BT15" s="644"/>
      <c r="BU15" s="644"/>
      <c r="BV15" s="644"/>
      <c r="BW15" s="644"/>
      <c r="BX15" s="644"/>
      <c r="BY15" s="644"/>
      <c r="BZ15" s="644"/>
      <c r="CA15" s="644"/>
      <c r="CB15" s="644"/>
    </row>
    <row r="17" s="22637" customFormat="1" customHeight="1" ht="17.25">
      <c r="A17" s="2042" t="s">
        <v>1930</v>
      </c>
    </row>
    <row r="19" s="22541" customFormat="1" customHeight="1" ht="15">
      <c r="A19" s="2110"/>
      <c r="B19" s="1593">
        <v>1</v>
      </c>
      <c r="C19" s="1593"/>
      <c r="D19" s="1022" t="s">
        <v>100</v>
      </c>
      <c r="E19" s="2106"/>
      <c r="F19" s="2111">
        <f>$F$20</f>
        <v>0</v>
      </c>
      <c r="G19" s="2115"/>
      <c r="H19" s="2115"/>
      <c r="I19" s="2113"/>
      <c r="J19" s="1851"/>
      <c r="K19" s="1863"/>
      <c r="L19" s="1863"/>
      <c r="M19" s="1851" t="str">
        <f t="array" ref="M19:M19">IF(ISERROR(MATCH(MID(N19,1,250),MID(note_ter,1,250),0)),"n","y")</f>
        <v>n</v>
      </c>
      <c r="N19" s="1863"/>
      <c r="O19" s="1851" t="str">
        <f>H19&amp;"("&amp;I19&amp;")"</f>
        <v>()</v>
      </c>
      <c r="P19" s="1593"/>
      <c r="Q19" s="1593"/>
      <c r="R19" s="642"/>
      <c r="S19" s="1593"/>
      <c r="T19" s="1593"/>
      <c r="U19" s="1593"/>
      <c r="V19" s="1055"/>
      <c r="W19" s="1055"/>
      <c r="X19" s="849"/>
      <c r="Y19" s="849"/>
      <c r="Z19" s="849"/>
      <c r="AA19" s="849"/>
      <c r="AB19" s="849"/>
      <c r="AC19" s="849"/>
      <c r="AD19" s="849"/>
      <c r="AE19" s="849"/>
      <c r="AF19" s="849"/>
      <c r="AG19" s="849"/>
      <c r="AH19" s="849"/>
      <c r="AI19" s="849"/>
      <c r="AJ19" s="849"/>
      <c r="AK19" s="849"/>
      <c r="AL19" s="849"/>
      <c r="AM19" s="849"/>
      <c r="AN19" s="849"/>
      <c r="AO19" s="849"/>
      <c r="AP19" s="849"/>
      <c r="AQ19" s="849"/>
      <c r="AR19" s="849"/>
      <c r="AS19" s="849"/>
      <c r="AT19" s="849"/>
      <c r="AU19" s="849"/>
      <c r="AV19" s="849"/>
      <c r="AW19" s="849"/>
      <c r="AX19" s="849"/>
      <c r="AY19" s="849"/>
      <c r="AZ19" s="849"/>
      <c r="BA19" s="849"/>
      <c r="BB19" s="849"/>
      <c r="BC19" s="849"/>
      <c r="BD19" s="849"/>
      <c r="BE19" s="849"/>
      <c r="BF19" s="849"/>
      <c r="BG19" s="849"/>
      <c r="BH19" s="849"/>
      <c r="BI19" s="849"/>
      <c r="BJ19" s="849"/>
      <c r="BK19" s="849"/>
      <c r="BL19" s="849"/>
      <c r="BM19" s="849"/>
      <c r="BN19" s="849"/>
      <c r="BO19" s="849"/>
      <c r="BP19" s="849"/>
      <c r="BQ19" s="849"/>
      <c r="BR19" s="849"/>
      <c r="BS19" s="1055"/>
      <c r="BT19" s="1055"/>
      <c r="BU19" s="1055"/>
      <c r="BV19" s="1055"/>
      <c r="BW19" s="1055"/>
      <c r="BX19" s="1055"/>
      <c r="BY19" s="1055"/>
      <c r="BZ19" s="1055"/>
      <c r="CA19" s="1055"/>
      <c r="CB19" s="1055"/>
    </row>
    <row r="21" s="15824" customFormat="1" customHeight="1" ht="15">
      <c r="A21" s="2042" t="s">
        <v>1931</v>
      </c>
      <c r="B21" s="2042"/>
      <c r="C21" s="2042"/>
      <c r="D21" s="2042"/>
      <c r="E21" s="2042"/>
      <c r="F21" s="2042"/>
      <c r="G21" s="2042"/>
      <c r="H21" s="2042"/>
      <c r="I21" s="2042"/>
      <c r="J21" s="2042"/>
      <c r="K21" s="2042"/>
      <c r="L21" s="2042"/>
      <c r="M21" s="2042"/>
      <c r="N21" s="2042"/>
      <c r="O21" s="2042"/>
      <c r="P21" s="2042"/>
      <c r="Q21" s="2042"/>
      <c r="R21" s="2042"/>
      <c r="S21" s="2042"/>
      <c r="T21" s="2042"/>
      <c r="U21" s="406"/>
      <c r="V21" s="2042"/>
      <c r="W21" s="2042"/>
    </row>
    <row s="15824" customFormat="1" customHeight="1" ht="15">
      <c r="U22" s="407"/>
    </row>
    <row s="22649" customFormat="1" customHeight="1" ht="15">
      <c r="A23" s="645"/>
      <c r="B23" s="645"/>
      <c r="C23" s="1955" t="s">
        <v>100</v>
      </c>
      <c r="D23" s="2264" t="s">
        <v>168</v>
      </c>
      <c r="E23" s="2265"/>
      <c r="F23" s="2263" t="s">
        <v>53</v>
      </c>
      <c r="G23" s="2676"/>
      <c r="H23" s="2253">
        <v>1</v>
      </c>
      <c r="I23" s="2678" t="str">
        <f>IF(U23="","",INDEX(TERRITORY_MR_LIST,MATCH(U23,TERRITORY_LIST_ID,0)))</f>
        <v/>
      </c>
      <c r="J23" s="2263" t="s">
        <v>53</v>
      </c>
      <c r="K23" s="1054"/>
      <c r="L23" s="2009" t="s">
        <v>168</v>
      </c>
      <c r="M23" s="825"/>
      <c r="N23" s="826"/>
      <c r="O23" s="826"/>
      <c r="P23" s="826"/>
      <c r="Q23" s="826"/>
      <c r="R23" s="826"/>
      <c r="S23" s="826"/>
      <c r="T23" s="826"/>
      <c r="U23" s="827"/>
      <c r="V23" s="826"/>
      <c r="W23" s="826"/>
      <c r="X23" s="817"/>
      <c r="Y23" s="817" t="s">
        <v>174</v>
      </c>
      <c r="Z23" s="817">
        <v>1705000</v>
      </c>
      <c r="AA23" s="817"/>
      <c r="AB23" s="817"/>
      <c r="AC23" s="817"/>
      <c r="AD23" s="817"/>
      <c r="AE23" s="817"/>
      <c r="AF23" s="817"/>
      <c r="AG23" s="817"/>
      <c r="AH23" s="817"/>
      <c r="AI23" s="817"/>
      <c r="AJ23" s="817"/>
      <c r="AK23" s="817"/>
      <c r="AL23" s="817"/>
    </row>
    <row s="22649" customFormat="1" customHeight="1" ht="15">
      <c r="A24" s="645"/>
      <c r="B24" s="645"/>
      <c r="C24" s="399"/>
      <c r="D24" s="2264"/>
      <c r="E24" s="2266"/>
      <c r="F24" s="2263"/>
      <c r="G24" s="2677"/>
      <c r="H24" s="2253"/>
      <c r="I24" s="2679"/>
      <c r="J24" s="2263"/>
      <c r="K24" s="643"/>
      <c r="L24" s="400"/>
      <c r="M24" s="829" t="s">
        <v>175</v>
      </c>
      <c r="N24" s="826"/>
      <c r="O24" s="826"/>
      <c r="P24" s="826"/>
      <c r="Q24" s="826"/>
      <c r="R24" s="826"/>
      <c r="S24" s="826"/>
      <c r="T24" s="826"/>
      <c r="U24" s="827"/>
      <c r="V24" s="826"/>
      <c r="W24" s="826"/>
      <c r="X24" s="817"/>
      <c r="Y24" s="817"/>
      <c r="Z24" s="817"/>
      <c r="AA24" s="817"/>
      <c r="AB24" s="817"/>
      <c r="AC24" s="817"/>
      <c r="AD24" s="817"/>
      <c r="AE24" s="817"/>
      <c r="AF24" s="817"/>
      <c r="AG24" s="817"/>
      <c r="AH24" s="817"/>
      <c r="AI24" s="817"/>
      <c r="AJ24" s="817"/>
      <c r="AK24" s="817"/>
      <c r="AL24" s="817"/>
    </row>
    <row s="22649" customFormat="1" customHeight="1" ht="15">
      <c r="A25" s="645"/>
      <c r="B25" s="645"/>
      <c r="C25" s="399"/>
      <c r="D25" s="2264"/>
      <c r="E25" s="2267"/>
      <c r="F25" s="2263"/>
      <c r="G25" s="643"/>
      <c r="H25" s="400"/>
      <c r="I25" s="802" t="s">
        <v>176</v>
      </c>
      <c r="J25" s="400"/>
      <c r="K25" s="400"/>
      <c r="L25" s="400"/>
      <c r="M25" s="830"/>
      <c r="N25" s="826"/>
      <c r="O25" s="826"/>
      <c r="P25" s="826"/>
      <c r="Q25" s="826"/>
      <c r="R25" s="826"/>
      <c r="S25" s="826"/>
      <c r="T25" s="826"/>
      <c r="U25" s="827"/>
      <c r="V25" s="826"/>
      <c r="W25" s="826"/>
      <c r="X25" s="817"/>
      <c r="Y25" s="817"/>
      <c r="Z25" s="817"/>
      <c r="AA25" s="817"/>
      <c r="AB25" s="817"/>
      <c r="AC25" s="817"/>
      <c r="AD25" s="817"/>
      <c r="AE25" s="817"/>
      <c r="AF25" s="817"/>
      <c r="AG25" s="817"/>
      <c r="AH25" s="817"/>
      <c r="AI25" s="817"/>
      <c r="AJ25" s="817"/>
      <c r="AK25" s="817"/>
      <c r="AL25" s="817"/>
    </row>
    <row s="15824" customFormat="1" customHeight="1" ht="15">
      <c r="U26" s="407"/>
    </row>
    <row s="15824" customFormat="1" customHeight="1" ht="15">
      <c r="A27" s="2042" t="s">
        <v>1932</v>
      </c>
      <c r="B27" s="2042"/>
      <c r="C27" s="2042"/>
      <c r="D27" s="2042"/>
      <c r="E27" s="2042"/>
      <c r="F27" s="2042"/>
      <c r="G27" s="2042"/>
      <c r="H27" s="2042"/>
      <c r="I27" s="2042"/>
      <c r="J27" s="2042"/>
      <c r="K27" s="2042"/>
      <c r="L27" s="2042"/>
      <c r="M27" s="2042"/>
      <c r="N27" s="2042"/>
      <c r="O27" s="2042"/>
      <c r="P27" s="2042"/>
      <c r="Q27" s="2042"/>
      <c r="R27" s="2042"/>
      <c r="S27" s="2042"/>
      <c r="T27" s="2042"/>
      <c r="U27" s="406"/>
      <c r="V27" s="2042"/>
      <c r="W27" s="2042"/>
    </row>
    <row s="15824" customFormat="1" customHeight="1" ht="15">
      <c r="U28" s="407"/>
    </row>
    <row s="22649" customFormat="1" customHeight="1" ht="15">
      <c r="A29" s="645"/>
      <c r="B29" s="645"/>
      <c r="C29" s="399"/>
      <c r="D29" s="2048"/>
      <c r="E29" s="2048"/>
      <c r="F29" s="2048"/>
      <c r="G29" s="2680" t="s">
        <v>100</v>
      </c>
      <c r="H29" s="2239">
        <v>1</v>
      </c>
      <c r="I29" s="2681" t="str">
        <f>IF(U29="","",INDEX(TERRITORY_MR_LIST,MATCH(U29,TERRITORY_LIST_ID,0)))</f>
        <v/>
      </c>
      <c r="J29" s="2263" t="s">
        <v>53</v>
      </c>
      <c r="K29" s="1054"/>
      <c r="L29" s="2009" t="s">
        <v>168</v>
      </c>
      <c r="M29" s="825"/>
      <c r="N29" s="826"/>
      <c r="O29" s="826"/>
      <c r="P29" s="826"/>
      <c r="Q29" s="826"/>
      <c r="R29" s="826"/>
      <c r="S29" s="826"/>
      <c r="T29" s="826"/>
      <c r="U29" s="827"/>
      <c r="V29" s="826"/>
      <c r="W29" s="826"/>
      <c r="X29" s="817"/>
      <c r="Y29" s="817" t="s">
        <v>174</v>
      </c>
      <c r="Z29" s="817">
        <v>1705000</v>
      </c>
      <c r="AA29" s="817"/>
      <c r="AB29" s="817"/>
      <c r="AC29" s="817"/>
      <c r="AD29" s="817"/>
      <c r="AE29" s="817"/>
      <c r="AF29" s="817"/>
      <c r="AG29" s="817"/>
      <c r="AH29" s="817"/>
      <c r="AI29" s="817"/>
      <c r="AJ29" s="817"/>
      <c r="AK29" s="817"/>
      <c r="AL29" s="817"/>
    </row>
    <row s="22649" customFormat="1" customHeight="1" ht="15">
      <c r="A30" s="645"/>
      <c r="B30" s="645"/>
      <c r="C30" s="399"/>
      <c r="D30" s="2048"/>
      <c r="E30" s="2048"/>
      <c r="F30" s="2048"/>
      <c r="G30" s="2680"/>
      <c r="H30" s="2239"/>
      <c r="I30" s="2681"/>
      <c r="J30" s="2263"/>
      <c r="K30" s="643"/>
      <c r="L30" s="400"/>
      <c r="M30" s="829" t="s">
        <v>175</v>
      </c>
      <c r="N30" s="826"/>
      <c r="O30" s="826"/>
      <c r="P30" s="826"/>
      <c r="Q30" s="826"/>
      <c r="R30" s="826"/>
      <c r="S30" s="826"/>
      <c r="T30" s="826"/>
      <c r="U30" s="827"/>
      <c r="V30" s="826"/>
      <c r="W30" s="826"/>
      <c r="X30" s="817"/>
      <c r="Y30" s="817"/>
      <c r="Z30" s="817"/>
      <c r="AA30" s="817"/>
      <c r="AB30" s="817"/>
      <c r="AC30" s="817"/>
      <c r="AD30" s="817"/>
      <c r="AE30" s="817"/>
      <c r="AF30" s="817"/>
      <c r="AG30" s="817"/>
      <c r="AH30" s="817"/>
      <c r="AI30" s="817"/>
      <c r="AJ30" s="817"/>
      <c r="AK30" s="817"/>
      <c r="AL30" s="817"/>
    </row>
    <row s="15824" customFormat="1" customHeight="1" ht="15">
      <c r="U31" s="407"/>
    </row>
    <row s="15824" customFormat="1" customHeight="1" ht="15">
      <c r="A32" s="2042" t="s">
        <v>1933</v>
      </c>
      <c r="B32" s="2042"/>
      <c r="C32" s="2042"/>
      <c r="D32" s="2042"/>
      <c r="E32" s="2042"/>
      <c r="F32" s="2042"/>
      <c r="G32" s="2042"/>
      <c r="H32" s="2042"/>
      <c r="I32" s="2042"/>
      <c r="J32" s="2042"/>
      <c r="K32" s="2042"/>
      <c r="L32" s="2042"/>
      <c r="M32" s="2042"/>
      <c r="N32" s="2042"/>
      <c r="O32" s="2042"/>
      <c r="P32" s="2042"/>
      <c r="Q32" s="2042"/>
      <c r="R32" s="2042"/>
      <c r="S32" s="2042"/>
      <c r="T32" s="2042"/>
      <c r="U32" s="406"/>
      <c r="V32" s="2042"/>
      <c r="W32" s="2042"/>
    </row>
    <row s="15824" customFormat="1" customHeight="1" ht="15">
      <c r="U33" s="407"/>
    </row>
    <row s="22649" customFormat="1" customHeight="1" ht="15">
      <c r="A34" s="645"/>
      <c r="B34" s="645"/>
      <c r="C34" s="399"/>
      <c r="D34" s="2048"/>
      <c r="E34" s="2048"/>
      <c r="F34" s="2048"/>
      <c r="G34" s="2048"/>
      <c r="H34" s="2048"/>
      <c r="I34" s="2048"/>
      <c r="J34" s="2048"/>
      <c r="K34" s="2026" t="s">
        <v>100</v>
      </c>
      <c r="L34" s="1956" t="s">
        <v>168</v>
      </c>
      <c r="M34" s="1033"/>
      <c r="N34" s="1034"/>
      <c r="O34" s="826"/>
      <c r="P34" s="826"/>
      <c r="Q34" s="826"/>
      <c r="R34" s="826"/>
      <c r="S34" s="826"/>
      <c r="T34" s="826"/>
      <c r="U34" s="827"/>
      <c r="V34" s="826"/>
      <c r="W34" s="826"/>
      <c r="X34" s="817"/>
      <c r="Y34" s="817" t="s">
        <v>174</v>
      </c>
      <c r="Z34" s="817">
        <v>1705000</v>
      </c>
      <c r="AA34" s="817"/>
      <c r="AB34" s="817"/>
      <c r="AC34" s="817"/>
      <c r="AD34" s="817"/>
      <c r="AE34" s="817"/>
      <c r="AF34" s="817"/>
      <c r="AG34" s="817"/>
      <c r="AH34" s="817"/>
      <c r="AI34" s="817"/>
      <c r="AJ34" s="817"/>
      <c r="AK34" s="817"/>
      <c r="AL34" s="817"/>
    </row>
    <row s="15824" customFormat="1" customHeight="1" ht="15">
      <c r="U35" s="407"/>
    </row>
    <row s="15824" customFormat="1" customHeight="1" ht="15">
      <c r="U36" s="407"/>
    </row>
    <row s="22637" customFormat="1" customHeight="1" ht="11.25">
      <c r="A37" s="2042" t="s">
        <v>1934</v>
      </c>
    </row>
    <row customHeight="1" ht="11.25"/>
    <row s="16339" customFormat="1" customHeight="1" ht="22.5">
      <c r="A39" s="2018"/>
      <c r="B39" s="679"/>
      <c r="C39" s="1081"/>
      <c r="D39" s="662"/>
      <c r="E39" s="1082"/>
      <c r="F39" s="2039"/>
      <c r="G39" s="2049"/>
      <c r="H39" s="697"/>
    </row>
    <row customHeight="1" ht="11.25"/>
    <row s="22637" customFormat="1" customHeight="1" ht="11.25">
      <c r="A41" s="2042" t="s">
        <v>1935</v>
      </c>
    </row>
    <row customHeight="1" ht="11.25"/>
    <row s="16339" customFormat="1" customHeight="1" ht="22.5">
      <c r="A43" s="679"/>
      <c r="B43" s="679"/>
      <c r="C43" s="679"/>
      <c r="D43" s="662"/>
      <c r="E43" s="1082"/>
      <c r="F43" s="1083"/>
      <c r="G43" s="2049"/>
      <c r="H43" s="697"/>
    </row>
    <row customHeight="1" ht="11.25"/>
    <row s="22637" customFormat="1" customHeight="1" ht="11.25">
      <c r="A45" s="2042" t="s">
        <v>1936</v>
      </c>
    </row>
    <row customHeight="1" ht="11.25"/>
    <row s="16339" customFormat="1" customHeight="1" ht="24">
      <c r="A47" s="2336" t="s">
        <v>419</v>
      </c>
      <c r="B47" s="724"/>
      <c r="C47" s="2347"/>
      <c r="D47" s="667" t="str">
        <f>A47</f>
        <v>5.1</v>
      </c>
      <c r="E47" s="664" t="s">
        <v>420</v>
      </c>
      <c r="F47" s="2205" t="s">
        <v>412</v>
      </c>
      <c r="G47" s="666" t="s">
        <v>421</v>
      </c>
      <c r="H47" s="697"/>
      <c r="I47" s="1074"/>
    </row>
    <row s="16339" customFormat="1" customHeight="1" ht="22.5">
      <c r="A48" s="2336"/>
      <c r="B48" s="724"/>
      <c r="C48" s="2347"/>
      <c r="D48" s="662" t="str">
        <f>D47&amp;".1"</f>
        <v>5.1.1</v>
      </c>
      <c r="E48" s="661" t="s">
        <v>422</v>
      </c>
      <c r="F48" s="2206" t="s">
        <v>24</v>
      </c>
      <c r="G48" s="696"/>
      <c r="H48" s="697"/>
      <c r="I48" s="1074"/>
    </row>
    <row s="16339" customFormat="1" customHeight="1" ht="22.5">
      <c r="A49" s="2336"/>
      <c r="B49" s="724"/>
      <c r="C49" s="2347"/>
      <c r="D49" s="662" t="str">
        <f>D47&amp;".2"</f>
        <v>5.1.2</v>
      </c>
      <c r="E49" s="661" t="s">
        <v>423</v>
      </c>
      <c r="F49" s="1959" t="s">
        <v>24</v>
      </c>
      <c r="G49" s="666" t="s">
        <v>424</v>
      </c>
      <c r="H49" s="697"/>
      <c r="I49" s="1074"/>
    </row>
    <row s="16339" customFormat="1" customHeight="1" ht="22.5">
      <c r="A50" s="2336"/>
      <c r="B50" s="724"/>
      <c r="C50" s="2347"/>
      <c r="D50" s="662" t="str">
        <f>D47&amp;".3"</f>
        <v>5.1.3</v>
      </c>
      <c r="E50" s="661" t="s">
        <v>425</v>
      </c>
      <c r="F50" s="2206" t="s">
        <v>24</v>
      </c>
      <c r="G50" s="696"/>
      <c r="H50" s="697"/>
      <c r="I50" s="1074"/>
    </row>
    <row s="16339" customFormat="1" customHeight="1" ht="22.5">
      <c r="A51" s="2336"/>
      <c r="B51" s="724"/>
      <c r="C51" s="2347"/>
      <c r="D51" s="662" t="str">
        <f>D47&amp;".4"</f>
        <v>5.1.4</v>
      </c>
      <c r="E51" s="661" t="s">
        <v>426</v>
      </c>
      <c r="F51" s="2206" t="s">
        <v>24</v>
      </c>
      <c r="G51" s="666" t="s">
        <v>427</v>
      </c>
      <c r="H51" s="697"/>
      <c r="I51" s="1074"/>
    </row>
    <row r="54" s="22637" customFormat="1" customHeight="1" ht="17.25">
      <c r="A54" s="2042" t="s">
        <v>1937</v>
      </c>
    </row>
    <row r="56" s="16425" customFormat="1" customHeight="1" ht="18.75">
      <c r="A56" s="311"/>
      <c r="B56" s="2050"/>
      <c r="C56" s="2050"/>
      <c r="D56" s="2051"/>
      <c r="E56" s="2036"/>
      <c r="F56" s="1090">
        <v>13</v>
      </c>
      <c r="G56" s="1089"/>
      <c r="H56" s="1015"/>
      <c r="I56" s="1013"/>
      <c r="J56" s="742" t="s">
        <v>63</v>
      </c>
      <c r="K56" s="2052" t="s">
        <v>24</v>
      </c>
      <c r="L56" s="311"/>
      <c r="M56" s="1863"/>
      <c r="N56" s="1863"/>
      <c r="O56" s="1863"/>
      <c r="P56" s="738" t="s">
        <v>498</v>
      </c>
      <c r="Q56" s="738" t="s">
        <v>499</v>
      </c>
      <c r="R56" s="739" t="s">
        <v>500</v>
      </c>
      <c r="S56" s="1863" t="s">
        <v>501</v>
      </c>
      <c r="T56" s="1863"/>
      <c r="U56" s="1863"/>
      <c r="V56" s="1863"/>
    </row>
    <row r="58" s="22637" customFormat="1" customHeight="1" ht="11.25">
      <c r="A58" s="2042" t="s">
        <v>1938</v>
      </c>
    </row>
    <row r="60" s="16676" customFormat="1" customHeight="1" ht="14.25">
      <c r="C60" s="1915"/>
      <c r="D60" s="2097"/>
      <c r="E60" s="2004" t="s">
        <v>24</v>
      </c>
      <c r="F60" s="2096"/>
      <c r="G60" s="1078"/>
      <c r="H60" s="2005"/>
      <c r="I60" s="2005"/>
      <c r="J60" s="655"/>
      <c r="K60" s="2091"/>
      <c r="L60" s="654"/>
      <c r="M60" s="2091"/>
      <c r="N60" s="655"/>
      <c r="O60" s="2091"/>
      <c r="P60" s="655"/>
      <c r="Q60" s="2091"/>
      <c r="R60" s="655"/>
      <c r="S60" s="1076"/>
      <c r="T60" s="2005"/>
      <c r="U60" s="655"/>
      <c r="V60" s="655"/>
      <c r="W60" s="2095"/>
      <c r="X60" s="2005"/>
      <c r="Y60" s="655"/>
      <c r="Z60" s="655"/>
      <c r="AA60" s="2095"/>
      <c r="AB60" s="2005"/>
      <c r="AC60" s="655"/>
      <c r="AD60" s="2095"/>
      <c r="AE60" s="311"/>
      <c r="AF60" s="311"/>
      <c r="AG60" s="311"/>
      <c r="AH60" s="311"/>
      <c r="AJ60" s="1863"/>
      <c r="AK60" s="1863"/>
      <c r="AL60" s="1863"/>
      <c r="AM60" s="1863"/>
      <c r="AN60" s="1863"/>
      <c r="AO60" s="1863"/>
      <c r="AP60" s="1851" t="s">
        <v>487</v>
      </c>
      <c r="AQ60" s="1851" t="s">
        <v>487</v>
      </c>
      <c r="AR60" s="1863"/>
      <c r="AS60" s="1863"/>
    </row>
    <row r="62" s="22637" customFormat="1" customHeight="1" ht="11.25">
      <c r="A62" s="2042" t="s">
        <v>1939</v>
      </c>
    </row>
    <row r="64" s="22680" customFormat="1" customHeight="1" ht="15">
      <c r="A64" s="368" t="s">
        <v>86</v>
      </c>
      <c r="B64" s="348" t="s">
        <v>24</v>
      </c>
      <c r="C64" s="2053"/>
      <c r="D64" s="351"/>
      <c r="E64" s="603"/>
      <c r="F64" s="603"/>
      <c r="G64" s="2030"/>
      <c r="H64" s="2052"/>
      <c r="I64" s="2031"/>
      <c r="K64" s="494"/>
      <c r="L64" s="495"/>
    </row>
    <row r="66" s="22637" customFormat="1" customHeight="1" ht="11.25">
      <c r="A66" s="2042" t="s">
        <v>1940</v>
      </c>
    </row>
    <row r="68" s="16676" customFormat="1" customHeight="1" ht="14.25">
      <c r="A68" s="565"/>
      <c r="B68" s="1384"/>
      <c r="C68" s="598"/>
      <c r="D68" s="2037"/>
      <c r="E68" s="1108"/>
      <c r="F68" s="2052"/>
      <c r="G68" s="311"/>
      <c r="I68" s="1851"/>
      <c r="J68" s="1851"/>
    </row>
    <row r="70" s="22637" customFormat="1" customHeight="1" ht="11.25">
      <c r="A70" s="2042" t="s">
        <v>1941</v>
      </c>
    </row>
    <row r="72" s="16676" customFormat="1" customHeight="1" ht="27">
      <c r="A72" s="1390"/>
      <c r="B72" s="1390"/>
      <c r="C72" s="1390"/>
      <c r="D72" s="1384"/>
      <c r="E72" s="2054"/>
      <c r="F72" s="2629"/>
      <c r="G72" s="2630"/>
      <c r="H72" s="2631" t="s">
        <v>63</v>
      </c>
      <c r="I72" s="2633"/>
      <c r="J72" s="2635"/>
      <c r="K72" s="2637"/>
      <c r="L72" s="2647"/>
      <c r="M72" s="2647"/>
      <c r="N72" s="2688"/>
      <c r="O72" s="2688"/>
      <c r="P72" s="2689">
        <f>DATEDIF(DATEVALUE(N72),DATEVALUE(O72),"y")&amp;"г. "&amp;DATEDIF(DATEVALUE(N72),DATEVALUE(O72),"ym")&amp;"мес. "&amp;DATEVALUE(O72)-DATE(YEAR(DATEVALUE(O72)),MONTH(DATEVALUE(O72)),1)&amp;"дн. "</f>
      </c>
      <c r="Q72" s="2649"/>
      <c r="R72" s="2649"/>
      <c r="S72" s="2649"/>
      <c r="T72" s="2635"/>
      <c r="U72" s="2649"/>
      <c r="V72" s="2649"/>
      <c r="W72" s="2649"/>
      <c r="X72" s="2635"/>
      <c r="Y72" s="2686" t="s">
        <v>63</v>
      </c>
      <c r="Z72" s="2035"/>
      <c r="AA72" s="2019">
        <v>1</v>
      </c>
      <c r="AB72" s="1468"/>
      <c r="AD72" s="1863" t="s">
        <v>1942</v>
      </c>
    </row>
    <row s="16676" customFormat="1" customHeight="1" ht="10.5">
      <c r="A73" s="1390"/>
      <c r="B73" s="1390"/>
      <c r="C73" s="1390"/>
      <c r="D73" s="1384"/>
      <c r="E73" s="1170"/>
      <c r="F73" s="2629"/>
      <c r="G73" s="2630"/>
      <c r="H73" s="2632"/>
      <c r="I73" s="2634"/>
      <c r="J73" s="2636"/>
      <c r="K73" s="2637"/>
      <c r="L73" s="2647"/>
      <c r="M73" s="2647"/>
      <c r="N73" s="2688"/>
      <c r="O73" s="2688"/>
      <c r="P73" s="2689"/>
      <c r="Q73" s="2649"/>
      <c r="R73" s="2649"/>
      <c r="S73" s="2649"/>
      <c r="T73" s="2636"/>
      <c r="U73" s="2649"/>
      <c r="V73" s="2649"/>
      <c r="W73" s="2649"/>
      <c r="X73" s="2636"/>
      <c r="Y73" s="2687"/>
      <c r="Z73" s="569"/>
      <c r="AA73" s="794"/>
      <c r="AB73" s="874" t="s">
        <v>1943</v>
      </c>
    </row>
    <row r="75" s="22637" customFormat="1" customHeight="1" ht="11.25">
      <c r="A75" s="2042" t="s">
        <v>1944</v>
      </c>
    </row>
    <row r="77" s="16676" customFormat="1" customHeight="1" ht="27">
      <c r="A77" s="1390"/>
      <c r="B77" s="1390"/>
      <c r="C77" s="1390"/>
      <c r="D77" s="1384"/>
      <c r="E77" s="2054"/>
      <c r="F77" s="2024"/>
      <c r="G77" s="1974"/>
      <c r="H77" s="1975"/>
      <c r="I77" s="1976"/>
      <c r="J77" s="1977"/>
      <c r="K77" s="1978"/>
      <c r="L77" s="1979"/>
      <c r="M77" s="1979"/>
      <c r="N77" s="1980"/>
      <c r="O77" s="1980"/>
      <c r="P77" s="1981"/>
      <c r="Q77" s="1982"/>
      <c r="R77" s="1982"/>
      <c r="S77" s="1982"/>
      <c r="T77" s="1977"/>
      <c r="U77" s="1982"/>
      <c r="V77" s="1982"/>
      <c r="W77" s="1982"/>
      <c r="X77" s="1977"/>
      <c r="Y77" s="1975"/>
      <c r="Z77" s="2035"/>
      <c r="AA77" s="2019">
        <v>1</v>
      </c>
      <c r="AB77" s="1468"/>
      <c r="AD77" s="1863" t="s">
        <v>1942</v>
      </c>
    </row>
    <row r="79" s="22637" customFormat="1" customHeight="1" ht="11.25">
      <c r="A79" s="2042" t="s">
        <v>1945</v>
      </c>
    </row>
    <row customHeight="1" ht="17.25"/>
    <row s="16676" customFormat="1" customHeight="1" ht="21">
      <c r="A81" s="1391"/>
      <c r="B81" s="1390"/>
      <c r="C81" s="1390"/>
      <c r="D81" s="1384"/>
      <c r="E81" s="1394"/>
      <c r="F81" s="1346">
        <f>INDEX(IP_MAIN_LIST_NAME_IP,MATCH(A81,IP_MAIN_LIST_IP_ID,0))&amp;" ("&amp;INDEX(IP_MAIN_START_DATE,MATCH(A81,IP_MAIN_LIST_IP_ID,0))&amp;"-"&amp;INDEX(IP_MAIN_END_DATE,MATCH(A81,IP_MAIN_LIST_IP_ID,0))&amp;")"</f>
      </c>
      <c r="G81" s="1347"/>
      <c r="H81" s="1347"/>
      <c r="I81" s="1411"/>
      <c r="J81" s="1411"/>
      <c r="K81" s="1412"/>
      <c r="L81" s="1412"/>
      <c r="M81" s="1412"/>
      <c r="N81" s="1413"/>
      <c r="O81" s="1413"/>
      <c r="P81" s="1413"/>
      <c r="Q81" s="1413"/>
      <c r="R81" s="1413"/>
      <c r="S81" s="1413"/>
      <c r="T81" s="1413"/>
      <c r="U81" s="1413"/>
      <c r="V81" s="1413"/>
      <c r="W81" s="1413"/>
      <c r="X81" s="1413"/>
      <c r="Y81" s="1413"/>
      <c r="Z81" s="1413"/>
      <c r="AA81" s="1413"/>
      <c r="AB81" s="1413"/>
      <c r="AC81" s="1413"/>
      <c r="AD81" s="1413"/>
      <c r="AE81" s="1414"/>
      <c r="AF81" s="1412"/>
      <c r="AG81" s="1412"/>
      <c r="AH81" s="1412"/>
      <c r="AI81" s="1412"/>
      <c r="AJ81" s="1412"/>
      <c r="AK81" s="1412"/>
      <c r="AL81" s="1395"/>
      <c r="AM81" s="2050"/>
      <c r="AN81" s="2050"/>
      <c r="AO81" s="2050"/>
      <c r="AP81" s="2050"/>
      <c r="AQ81" s="2050"/>
      <c r="AR81" s="2050"/>
      <c r="AS81" s="2050"/>
      <c r="AT81" s="2050"/>
      <c r="AU81" s="2050"/>
      <c r="AV81" s="2050"/>
      <c r="AW81" s="2050"/>
      <c r="AX81" s="2050"/>
      <c r="AY81" s="2050"/>
      <c r="AZ81" s="2050"/>
      <c r="BA81" s="2050"/>
      <c r="BB81" s="2050"/>
      <c r="BC81" s="2050"/>
      <c r="BD81" s="2050"/>
      <c r="BE81" s="2050"/>
      <c r="BF81" s="2050"/>
    </row>
    <row s="16676" customFormat="1" customHeight="1" ht="11.25">
      <c r="A82" s="1390"/>
      <c r="B82" s="1390"/>
      <c r="C82" s="1390"/>
      <c r="D82" s="1384"/>
      <c r="E82" s="1394"/>
      <c r="F82" s="2692"/>
      <c r="G82" s="2648"/>
      <c r="H82" s="2648" t="s">
        <v>168</v>
      </c>
      <c r="I82" s="2695"/>
      <c r="J82" s="2621"/>
      <c r="K82" s="2696"/>
      <c r="L82" s="2690" t="s">
        <v>53</v>
      </c>
      <c r="M82" s="2264"/>
      <c r="N82" s="1403"/>
      <c r="O82" s="1402" t="s">
        <v>482</v>
      </c>
      <c r="P82" s="1403"/>
      <c r="Q82" s="1403"/>
      <c r="R82" s="1403"/>
      <c r="S82" s="1403"/>
      <c r="T82" s="1403"/>
      <c r="U82" s="1403"/>
      <c r="V82" s="1403"/>
      <c r="W82" s="1403"/>
      <c r="X82" s="1403"/>
      <c r="Y82" s="1403"/>
      <c r="Z82" s="1403"/>
      <c r="AA82" s="1403"/>
      <c r="AB82" s="1403"/>
      <c r="AC82" s="1403"/>
      <c r="AD82" s="1403"/>
      <c r="AE82" s="1403"/>
      <c r="AF82" s="2694"/>
      <c r="AG82" s="2690"/>
      <c r="AH82" s="2690"/>
      <c r="AI82" s="2694"/>
      <c r="AJ82" s="2690"/>
      <c r="AK82" s="2690"/>
      <c r="AL82" s="1397"/>
      <c r="AM82" s="2050"/>
      <c r="AN82" s="2050"/>
      <c r="AO82" s="2050"/>
      <c r="AP82" s="2050"/>
      <c r="AQ82" s="2050"/>
      <c r="AR82" s="2050"/>
      <c r="AS82" s="2050"/>
      <c r="AT82" s="2050"/>
      <c r="AU82" s="2050"/>
      <c r="AV82" s="2050"/>
      <c r="AW82" s="2050"/>
      <c r="AX82" s="2050"/>
      <c r="AY82" s="2050"/>
      <c r="AZ82" s="2050"/>
      <c r="BA82" s="2050"/>
      <c r="BB82" s="2050"/>
      <c r="BC82" s="2050"/>
      <c r="BD82" s="2050"/>
      <c r="BE82" s="2050"/>
      <c r="BF82" s="2050"/>
    </row>
    <row s="16676" customFormat="1" customHeight="1" ht="11.25">
      <c r="A83" s="1390"/>
      <c r="B83" s="1390"/>
      <c r="C83" s="1390"/>
      <c r="D83" s="1384"/>
      <c r="E83" s="1394"/>
      <c r="F83" s="2692"/>
      <c r="G83" s="2648"/>
      <c r="H83" s="2648"/>
      <c r="I83" s="2695"/>
      <c r="J83" s="2621"/>
      <c r="K83" s="2696"/>
      <c r="L83" s="2690"/>
      <c r="M83" s="2264"/>
      <c r="N83" s="2697"/>
      <c r="O83" s="2643">
        <v>1</v>
      </c>
      <c r="P83" s="2638" t="s">
        <v>53</v>
      </c>
      <c r="Q83" s="2641" t="s">
        <v>24</v>
      </c>
      <c r="R83" s="2641" t="s">
        <v>24</v>
      </c>
      <c r="S83" s="2641" t="s">
        <v>24</v>
      </c>
      <c r="T83" s="2641" t="s">
        <v>24</v>
      </c>
      <c r="U83" s="2641" t="s">
        <v>24</v>
      </c>
      <c r="V83" s="2641" t="s">
        <v>24</v>
      </c>
      <c r="W83" s="2641" t="s">
        <v>24</v>
      </c>
      <c r="X83" s="2641" t="s">
        <v>24</v>
      </c>
      <c r="Y83" s="2641"/>
      <c r="Z83" s="1400"/>
      <c r="AA83" s="1401"/>
      <c r="AB83" s="1401"/>
      <c r="AC83" s="1405"/>
      <c r="AD83" s="1405"/>
      <c r="AE83" s="1406"/>
      <c r="AF83" s="2694"/>
      <c r="AG83" s="2690"/>
      <c r="AH83" s="2690"/>
      <c r="AI83" s="2694"/>
      <c r="AJ83" s="2690"/>
      <c r="AK83" s="2690"/>
      <c r="AL83" s="1397"/>
      <c r="AM83" s="2050"/>
      <c r="AN83" s="2050"/>
      <c r="AO83" s="2050"/>
      <c r="AP83" s="2050"/>
      <c r="AQ83" s="2050"/>
      <c r="AR83" s="2050"/>
      <c r="AS83" s="2050"/>
      <c r="AT83" s="2050"/>
      <c r="AU83" s="2050"/>
      <c r="AV83" s="2050"/>
      <c r="AW83" s="2050"/>
      <c r="AX83" s="2050"/>
      <c r="AY83" s="2050"/>
      <c r="AZ83" s="2050"/>
      <c r="BA83" s="2050"/>
      <c r="BB83" s="2050"/>
      <c r="BC83" s="2050"/>
      <c r="BD83" s="2050"/>
      <c r="BE83" s="2050"/>
      <c r="BF83" s="2050"/>
    </row>
    <row s="16676" customFormat="1" customHeight="1" ht="11.25">
      <c r="A84" s="1390"/>
      <c r="B84" s="1390"/>
      <c r="C84" s="1390"/>
      <c r="D84" s="1384"/>
      <c r="E84" s="1394"/>
      <c r="F84" s="2692"/>
      <c r="G84" s="2648"/>
      <c r="H84" s="2648"/>
      <c r="I84" s="2695"/>
      <c r="J84" s="2621"/>
      <c r="K84" s="2696"/>
      <c r="L84" s="2690"/>
      <c r="M84" s="2264"/>
      <c r="N84" s="2697"/>
      <c r="O84" s="2643"/>
      <c r="P84" s="2639"/>
      <c r="Q84" s="2641"/>
      <c r="R84" s="2641"/>
      <c r="S84" s="2644"/>
      <c r="T84" s="2641"/>
      <c r="U84" s="2641"/>
      <c r="V84" s="2641"/>
      <c r="W84" s="2641"/>
      <c r="X84" s="2641"/>
      <c r="Y84" s="2641"/>
      <c r="Z84" s="2055"/>
      <c r="AA84" s="2021">
        <v>1</v>
      </c>
      <c r="AB84" s="1404"/>
      <c r="AC84" s="1393"/>
      <c r="AD84" s="1404">
        <f>AB84</f>
        <v>0</v>
      </c>
      <c r="AE84" s="1393"/>
      <c r="AF84" s="2694"/>
      <c r="AG84" s="2690"/>
      <c r="AH84" s="2690"/>
      <c r="AI84" s="2694"/>
      <c r="AJ84" s="2690"/>
      <c r="AK84" s="2690"/>
      <c r="AL84" s="1397"/>
      <c r="AM84" s="2050"/>
      <c r="AN84" s="2050"/>
      <c r="AO84" s="2050"/>
      <c r="AP84" s="2050"/>
      <c r="AQ84" s="2050"/>
      <c r="AR84" s="2050"/>
      <c r="AS84" s="2050"/>
      <c r="AT84" s="2050"/>
      <c r="AU84" s="2050"/>
      <c r="AV84" s="2050"/>
      <c r="AW84" s="2050"/>
      <c r="AX84" s="2050"/>
      <c r="AY84" s="2050"/>
      <c r="AZ84" s="2050"/>
      <c r="BA84" s="2050"/>
      <c r="BB84" s="2050"/>
      <c r="BC84" s="2050"/>
      <c r="BD84" s="2050"/>
      <c r="BE84" s="2050"/>
      <c r="BF84" s="2050"/>
    </row>
    <row s="16676" customFormat="1" customHeight="1" ht="11.25">
      <c r="A85" s="1390"/>
      <c r="B85" s="1390"/>
      <c r="C85" s="1390"/>
      <c r="D85" s="1384"/>
      <c r="E85" s="1394"/>
      <c r="F85" s="2692"/>
      <c r="G85" s="2648"/>
      <c r="H85" s="2648"/>
      <c r="I85" s="2695"/>
      <c r="J85" s="2621"/>
      <c r="K85" s="2696"/>
      <c r="L85" s="2690"/>
      <c r="M85" s="2264"/>
      <c r="N85" s="2697"/>
      <c r="O85" s="2643"/>
      <c r="P85" s="2640"/>
      <c r="Q85" s="2641"/>
      <c r="R85" s="2641"/>
      <c r="S85" s="2644"/>
      <c r="T85" s="2641"/>
      <c r="U85" s="2641"/>
      <c r="V85" s="2641"/>
      <c r="W85" s="2641"/>
      <c r="X85" s="2641"/>
      <c r="Y85" s="2641"/>
      <c r="Z85" s="1400"/>
      <c r="AA85" s="1401"/>
      <c r="AB85" s="1467" t="s">
        <v>1946</v>
      </c>
      <c r="AC85" s="1405"/>
      <c r="AD85" s="1405"/>
      <c r="AE85" s="1407"/>
      <c r="AF85" s="2694"/>
      <c r="AG85" s="2690"/>
      <c r="AH85" s="2690"/>
      <c r="AI85" s="2694"/>
      <c r="AJ85" s="2690"/>
      <c r="AK85" s="2690"/>
      <c r="AL85" s="1397"/>
      <c r="AM85" s="2050"/>
      <c r="AN85" s="2050"/>
      <c r="AO85" s="2050"/>
      <c r="AP85" s="2050"/>
      <c r="AQ85" s="2050"/>
      <c r="AR85" s="2050"/>
      <c r="AS85" s="2050"/>
      <c r="AT85" s="2050"/>
      <c r="AU85" s="2050"/>
      <c r="AV85" s="2050"/>
      <c r="AW85" s="2050"/>
      <c r="AX85" s="2050"/>
      <c r="AY85" s="2050"/>
      <c r="AZ85" s="2050"/>
      <c r="BA85" s="2050"/>
      <c r="BB85" s="2050"/>
      <c r="BC85" s="2050"/>
      <c r="BD85" s="2050"/>
      <c r="BE85" s="2050"/>
      <c r="BF85" s="2050"/>
    </row>
    <row s="16676" customFormat="1" customHeight="1" ht="11.25">
      <c r="A86" s="1390"/>
      <c r="B86" s="1390"/>
      <c r="C86" s="1390"/>
      <c r="D86" s="1384"/>
      <c r="E86" s="1394"/>
      <c r="F86" s="2692"/>
      <c r="G86" s="2648"/>
      <c r="H86" s="2648"/>
      <c r="I86" s="2695"/>
      <c r="J86" s="2621"/>
      <c r="K86" s="2696"/>
      <c r="L86" s="2690"/>
      <c r="M86" s="2264"/>
      <c r="N86" s="1401"/>
      <c r="O86" s="1401"/>
      <c r="P86" s="1392" t="s">
        <v>1947</v>
      </c>
      <c r="Q86" s="1401"/>
      <c r="R86" s="1401"/>
      <c r="S86" s="1401"/>
      <c r="T86" s="1401"/>
      <c r="U86" s="1401"/>
      <c r="V86" s="1401"/>
      <c r="W86" s="1401"/>
      <c r="X86" s="1401"/>
      <c r="Y86" s="1401"/>
      <c r="Z86" s="1401"/>
      <c r="AA86" s="1401"/>
      <c r="AB86" s="1401"/>
      <c r="AC86" s="1401"/>
      <c r="AD86" s="1401"/>
      <c r="AE86" s="1408"/>
      <c r="AF86" s="2694"/>
      <c r="AG86" s="2690"/>
      <c r="AH86" s="2690"/>
      <c r="AI86" s="2694"/>
      <c r="AJ86" s="2690"/>
      <c r="AK86" s="2690"/>
      <c r="AL86" s="1397"/>
      <c r="AM86" s="2050"/>
      <c r="AN86" s="2050"/>
      <c r="AO86" s="2050"/>
      <c r="AP86" s="2050"/>
      <c r="AQ86" s="2050"/>
      <c r="AR86" s="2050"/>
      <c r="AS86" s="2050"/>
      <c r="AT86" s="2050"/>
      <c r="AU86" s="2050"/>
      <c r="AV86" s="2050"/>
      <c r="AW86" s="2050"/>
      <c r="AX86" s="2050"/>
      <c r="AY86" s="2050"/>
      <c r="AZ86" s="2050"/>
      <c r="BA86" s="2050"/>
      <c r="BB86" s="2050"/>
      <c r="BC86" s="2050"/>
      <c r="BD86" s="2050"/>
      <c r="BE86" s="2050"/>
      <c r="BF86" s="2050"/>
    </row>
    <row s="16676" customFormat="1" customHeight="1" ht="12">
      <c r="A87" s="1390"/>
      <c r="B87" s="1390"/>
      <c r="C87" s="1390"/>
      <c r="D87" s="1384"/>
      <c r="E87" s="1394"/>
      <c r="F87" s="2693"/>
      <c r="G87" s="1416"/>
      <c r="H87" s="1416"/>
      <c r="I87" s="2691" t="s">
        <v>1948</v>
      </c>
      <c r="J87" s="2691"/>
      <c r="K87" s="2691"/>
      <c r="L87" s="1398"/>
      <c r="M87" s="1398"/>
      <c r="N87" s="1399"/>
      <c r="O87" s="1399"/>
      <c r="P87" s="1399"/>
      <c r="Q87" s="1399"/>
      <c r="R87" s="1399"/>
      <c r="S87" s="1399"/>
      <c r="T87" s="1399"/>
      <c r="U87" s="1399"/>
      <c r="V87" s="1399"/>
      <c r="W87" s="1399"/>
      <c r="X87" s="1399"/>
      <c r="Y87" s="1399"/>
      <c r="Z87" s="1399"/>
      <c r="AA87" s="1399"/>
      <c r="AB87" s="1399"/>
      <c r="AC87" s="1399"/>
      <c r="AD87" s="1399"/>
      <c r="AE87" s="1399"/>
      <c r="AF87" s="1399"/>
      <c r="AG87" s="1398"/>
      <c r="AH87" s="1398"/>
      <c r="AI87" s="1399"/>
      <c r="AJ87" s="1398"/>
      <c r="AK87" s="1409"/>
      <c r="AL87" s="1397"/>
      <c r="AM87" s="2050"/>
      <c r="AN87" s="2050"/>
      <c r="AO87" s="2050"/>
      <c r="AP87" s="2050"/>
      <c r="AQ87" s="2050"/>
      <c r="AR87" s="2050"/>
      <c r="AS87" s="2050"/>
      <c r="AT87" s="2050"/>
      <c r="AU87" s="2050"/>
      <c r="AV87" s="2050"/>
      <c r="AW87" s="2050"/>
      <c r="AX87" s="2050"/>
      <c r="AY87" s="2050"/>
      <c r="AZ87" s="2050"/>
      <c r="BA87" s="2050"/>
      <c r="BB87" s="2050"/>
      <c r="BC87" s="2050"/>
      <c r="BD87" s="2050"/>
      <c r="BE87" s="2050"/>
      <c r="BF87" s="2050"/>
    </row>
    <row r="89" s="22637" customFormat="1" customHeight="1" ht="11.25">
      <c r="A89" s="2042" t="s">
        <v>1949</v>
      </c>
    </row>
    <row r="91" s="16676" customFormat="1" customHeight="1" ht="11.25">
      <c r="A91" s="1390"/>
      <c r="B91" s="1390"/>
      <c r="C91" s="1390"/>
      <c r="D91" s="1384"/>
      <c r="E91" s="1394"/>
      <c r="F91" s="2056"/>
      <c r="G91" s="2057"/>
      <c r="H91" s="2057"/>
      <c r="I91" s="1991"/>
      <c r="J91" s="1991"/>
      <c r="K91" s="2058"/>
      <c r="L91" s="1991"/>
      <c r="M91" s="2057"/>
      <c r="N91" s="2642"/>
      <c r="O91" s="2643">
        <v>1</v>
      </c>
      <c r="P91" s="2638" t="s">
        <v>53</v>
      </c>
      <c r="Q91" s="2641" t="s">
        <v>24</v>
      </c>
      <c r="R91" s="2641" t="s">
        <v>24</v>
      </c>
      <c r="S91" s="2641" t="s">
        <v>24</v>
      </c>
      <c r="T91" s="2641" t="s">
        <v>24</v>
      </c>
      <c r="U91" s="2641" t="s">
        <v>24</v>
      </c>
      <c r="V91" s="2641" t="s">
        <v>24</v>
      </c>
      <c r="W91" s="2641" t="s">
        <v>24</v>
      </c>
      <c r="X91" s="2641" t="s">
        <v>24</v>
      </c>
      <c r="Y91" s="2641"/>
      <c r="Z91" s="1400"/>
      <c r="AA91" s="1401"/>
      <c r="AB91" s="1401"/>
      <c r="AC91" s="1405"/>
      <c r="AD91" s="1405"/>
      <c r="AE91" s="1405"/>
      <c r="AF91" s="2059"/>
      <c r="AG91" s="1986"/>
      <c r="AH91" s="1986"/>
      <c r="AI91" s="2059"/>
      <c r="AJ91" s="1986"/>
      <c r="AK91" s="1986"/>
      <c r="AL91" s="1397"/>
      <c r="AM91" s="2050"/>
      <c r="AN91" s="2050"/>
      <c r="AO91" s="2050"/>
      <c r="AP91" s="2050"/>
      <c r="AQ91" s="2050"/>
      <c r="AR91" s="2050"/>
      <c r="AS91" s="2050"/>
      <c r="AT91" s="2050"/>
      <c r="AU91" s="2050"/>
      <c r="AV91" s="2050"/>
      <c r="AW91" s="2050"/>
      <c r="AX91" s="2050"/>
      <c r="AY91" s="2050"/>
      <c r="AZ91" s="2050"/>
      <c r="BA91" s="2050"/>
      <c r="BB91" s="2050"/>
      <c r="BC91" s="2050"/>
      <c r="BD91" s="2050"/>
      <c r="BE91" s="2050"/>
      <c r="BF91" s="2050"/>
    </row>
    <row s="16676" customFormat="1" customHeight="1" ht="11.25">
      <c r="A92" s="1390"/>
      <c r="B92" s="1390"/>
      <c r="C92" s="1390"/>
      <c r="D92" s="1384"/>
      <c r="E92" s="1394"/>
      <c r="F92" s="2056"/>
      <c r="G92" s="2057"/>
      <c r="H92" s="2057"/>
      <c r="I92" s="1992"/>
      <c r="J92" s="1992"/>
      <c r="K92" s="2058"/>
      <c r="L92" s="1992"/>
      <c r="M92" s="2057"/>
      <c r="N92" s="2642"/>
      <c r="O92" s="2643"/>
      <c r="P92" s="2639"/>
      <c r="Q92" s="2641"/>
      <c r="R92" s="2641"/>
      <c r="S92" s="2644"/>
      <c r="T92" s="2641"/>
      <c r="U92" s="2641"/>
      <c r="V92" s="2641"/>
      <c r="W92" s="2641"/>
      <c r="X92" s="2641"/>
      <c r="Y92" s="2641"/>
      <c r="Z92" s="2055"/>
      <c r="AA92" s="2021">
        <v>1</v>
      </c>
      <c r="AB92" s="1404"/>
      <c r="AC92" s="1393"/>
      <c r="AD92" s="1404">
        <f>AB92</f>
        <v>0</v>
      </c>
      <c r="AE92" s="946"/>
      <c r="AF92" s="2058"/>
      <c r="AG92" s="1986"/>
      <c r="AH92" s="1986"/>
      <c r="AI92" s="2058"/>
      <c r="AJ92" s="1986"/>
      <c r="AK92" s="1986"/>
      <c r="AL92" s="1397"/>
      <c r="AM92" s="2050"/>
      <c r="AN92" s="2050"/>
      <c r="AO92" s="2050"/>
      <c r="AP92" s="2050"/>
      <c r="AQ92" s="2050"/>
      <c r="AR92" s="2050"/>
      <c r="AS92" s="2050"/>
      <c r="AT92" s="2050"/>
      <c r="AU92" s="2050"/>
      <c r="AV92" s="2050"/>
      <c r="AW92" s="2050"/>
      <c r="AX92" s="2050"/>
      <c r="AY92" s="2050"/>
      <c r="AZ92" s="2050"/>
      <c r="BA92" s="2050"/>
      <c r="BB92" s="2050"/>
      <c r="BC92" s="2050"/>
      <c r="BD92" s="2050"/>
      <c r="BE92" s="2050"/>
      <c r="BF92" s="2050"/>
    </row>
    <row s="16676" customFormat="1" customHeight="1" ht="11.25">
      <c r="A93" s="1390"/>
      <c r="B93" s="1390"/>
      <c r="C93" s="1390"/>
      <c r="D93" s="1384"/>
      <c r="E93" s="1394"/>
      <c r="F93" s="2056"/>
      <c r="G93" s="2057"/>
      <c r="H93" s="2057"/>
      <c r="I93" s="1993"/>
      <c r="J93" s="1993"/>
      <c r="K93" s="2058"/>
      <c r="L93" s="1993"/>
      <c r="M93" s="2057"/>
      <c r="N93" s="2642"/>
      <c r="O93" s="2643"/>
      <c r="P93" s="2640"/>
      <c r="Q93" s="2641"/>
      <c r="R93" s="2641"/>
      <c r="S93" s="2644"/>
      <c r="T93" s="2641"/>
      <c r="U93" s="2641"/>
      <c r="V93" s="2641"/>
      <c r="W93" s="2641"/>
      <c r="X93" s="2641"/>
      <c r="Y93" s="2641"/>
      <c r="Z93" s="1400"/>
      <c r="AA93" s="1401"/>
      <c r="AB93" s="1467" t="s">
        <v>1946</v>
      </c>
      <c r="AC93" s="1405"/>
      <c r="AD93" s="1405"/>
      <c r="AE93" s="1405"/>
      <c r="AF93" s="2060"/>
      <c r="AG93" s="1986"/>
      <c r="AH93" s="1986"/>
      <c r="AI93" s="2060"/>
      <c r="AJ93" s="1986"/>
      <c r="AK93" s="1986"/>
      <c r="AL93" s="1397"/>
      <c r="AM93" s="2050"/>
      <c r="AN93" s="2050"/>
      <c r="AO93" s="2050"/>
      <c r="AP93" s="2050"/>
      <c r="AQ93" s="2050"/>
      <c r="AR93" s="2050"/>
      <c r="AS93" s="2050"/>
      <c r="AT93" s="2050"/>
      <c r="AU93" s="2050"/>
      <c r="AV93" s="2050"/>
      <c r="AW93" s="2050"/>
      <c r="AX93" s="2050"/>
      <c r="AY93" s="2050"/>
      <c r="AZ93" s="2050"/>
      <c r="BA93" s="2050"/>
      <c r="BB93" s="2050"/>
      <c r="BC93" s="2050"/>
      <c r="BD93" s="2050"/>
      <c r="BE93" s="2050"/>
      <c r="BF93" s="2050"/>
    </row>
    <row r="95" s="22637" customFormat="1" customHeight="1" ht="11.25">
      <c r="A95" s="2042" t="s">
        <v>1950</v>
      </c>
    </row>
    <row r="97" s="16676" customFormat="1" customHeight="1" ht="11.25">
      <c r="A97" s="1390"/>
      <c r="B97" s="1390"/>
      <c r="C97" s="1390"/>
      <c r="D97" s="1384"/>
      <c r="E97" s="1394"/>
      <c r="F97" s="2057"/>
      <c r="G97" s="2057"/>
      <c r="H97" s="2057"/>
      <c r="I97" s="2057"/>
      <c r="J97" s="2057"/>
      <c r="K97" s="2057"/>
      <c r="L97" s="2057"/>
      <c r="M97" s="2057"/>
      <c r="N97" s="2057"/>
      <c r="O97" s="2057"/>
      <c r="P97" s="2057"/>
      <c r="Q97" s="2057"/>
      <c r="R97" s="2057"/>
      <c r="S97" s="2057"/>
      <c r="T97" s="2057"/>
      <c r="U97" s="2057"/>
      <c r="V97" s="2057"/>
      <c r="W97" s="2057"/>
      <c r="X97" s="2057"/>
      <c r="Y97" s="2057"/>
      <c r="Z97" s="2061"/>
      <c r="AA97" s="2041">
        <v>1</v>
      </c>
      <c r="AB97" s="1404"/>
      <c r="AC97" s="1393"/>
      <c r="AD97" s="1404">
        <f>AB97</f>
        <v>0</v>
      </c>
      <c r="AE97" s="1393"/>
      <c r="AF97" s="2058"/>
      <c r="AG97" s="1986"/>
      <c r="AH97" s="1986"/>
      <c r="AI97" s="2058"/>
      <c r="AJ97" s="1986"/>
      <c r="AK97" s="1986"/>
      <c r="AL97" s="1397"/>
      <c r="AM97" s="2050"/>
      <c r="AN97" s="2050"/>
      <c r="AO97" s="2050"/>
      <c r="AP97" s="2050"/>
      <c r="AQ97" s="2050"/>
      <c r="AR97" s="2050"/>
      <c r="AS97" s="2050"/>
      <c r="AT97" s="2050"/>
      <c r="AU97" s="2050"/>
      <c r="AV97" s="2050"/>
      <c r="AW97" s="2050"/>
      <c r="AX97" s="2050"/>
      <c r="AY97" s="2050"/>
      <c r="AZ97" s="2050"/>
      <c r="BA97" s="2050"/>
      <c r="BB97" s="2050"/>
      <c r="BC97" s="2050"/>
      <c r="BD97" s="2050"/>
      <c r="BE97" s="2050"/>
      <c r="BF97" s="2050"/>
    </row>
    <row r="99" s="22637" customFormat="1" customHeight="1" ht="11.25">
      <c r="A99" s="2042" t="s">
        <v>1951</v>
      </c>
    </row>
    <row r="101" s="16676" customFormat="1" customHeight="1" ht="11.25">
      <c r="A101" s="1390"/>
      <c r="B101" s="1390"/>
      <c r="C101" s="1390"/>
      <c r="D101" s="1384"/>
      <c r="E101" s="1394"/>
      <c r="F101" s="2056"/>
      <c r="G101" s="2057"/>
      <c r="H101" s="2648" t="s">
        <v>168</v>
      </c>
      <c r="I101" s="2695"/>
      <c r="J101" s="2621"/>
      <c r="K101" s="2696"/>
      <c r="L101" s="2690" t="s">
        <v>53</v>
      </c>
      <c r="M101" s="2264"/>
      <c r="N101" s="1403"/>
      <c r="O101" s="1402" t="s">
        <v>482</v>
      </c>
      <c r="P101" s="1403"/>
      <c r="Q101" s="1403"/>
      <c r="R101" s="1403"/>
      <c r="S101" s="1403"/>
      <c r="T101" s="1403"/>
      <c r="U101" s="1403"/>
      <c r="V101" s="1403"/>
      <c r="W101" s="1403"/>
      <c r="X101" s="1403"/>
      <c r="Y101" s="1403"/>
      <c r="Z101" s="1403"/>
      <c r="AA101" s="1403"/>
      <c r="AB101" s="1403"/>
      <c r="AC101" s="1403"/>
      <c r="AD101" s="1403"/>
      <c r="AE101" s="1403"/>
      <c r="AF101" s="2694"/>
      <c r="AG101" s="2690"/>
      <c r="AH101" s="2690"/>
      <c r="AI101" s="2694"/>
      <c r="AJ101" s="2690"/>
      <c r="AK101" s="2690"/>
      <c r="AL101" s="1397"/>
      <c r="AM101" s="2050"/>
      <c r="AN101" s="2050"/>
      <c r="AO101" s="2050"/>
      <c r="AP101" s="2050"/>
      <c r="AQ101" s="2050"/>
      <c r="AR101" s="2050"/>
      <c r="AS101" s="2050"/>
      <c r="AT101" s="2050"/>
      <c r="AU101" s="2050"/>
      <c r="AV101" s="2050"/>
      <c r="AW101" s="2050"/>
      <c r="AX101" s="2050"/>
      <c r="AY101" s="2050"/>
      <c r="AZ101" s="2050"/>
      <c r="BA101" s="2050"/>
      <c r="BB101" s="2050"/>
      <c r="BC101" s="2050"/>
      <c r="BD101" s="2050"/>
      <c r="BE101" s="2050"/>
      <c r="BF101" s="2050"/>
    </row>
    <row s="16676" customFormat="1" customHeight="1" ht="11.25">
      <c r="A102" s="1390"/>
      <c r="B102" s="1390"/>
      <c r="C102" s="1390"/>
      <c r="D102" s="1384"/>
      <c r="E102" s="1394"/>
      <c r="F102" s="2056"/>
      <c r="G102" s="2057"/>
      <c r="H102" s="2648"/>
      <c r="I102" s="2695"/>
      <c r="J102" s="2621"/>
      <c r="K102" s="2696"/>
      <c r="L102" s="2690"/>
      <c r="M102" s="2264"/>
      <c r="N102" s="2697"/>
      <c r="O102" s="2643">
        <v>1</v>
      </c>
      <c r="P102" s="2638" t="s">
        <v>53</v>
      </c>
      <c r="Q102" s="2641" t="s">
        <v>24</v>
      </c>
      <c r="R102" s="2641" t="s">
        <v>24</v>
      </c>
      <c r="S102" s="2641" t="s">
        <v>24</v>
      </c>
      <c r="T102" s="2641" t="s">
        <v>24</v>
      </c>
      <c r="U102" s="2641" t="s">
        <v>24</v>
      </c>
      <c r="V102" s="2641" t="s">
        <v>24</v>
      </c>
      <c r="W102" s="2641" t="s">
        <v>24</v>
      </c>
      <c r="X102" s="2641" t="s">
        <v>24</v>
      </c>
      <c r="Y102" s="2641"/>
      <c r="Z102" s="1400"/>
      <c r="AA102" s="1401"/>
      <c r="AB102" s="1401"/>
      <c r="AC102" s="1405"/>
      <c r="AD102" s="1405"/>
      <c r="AE102" s="1406"/>
      <c r="AF102" s="2694"/>
      <c r="AG102" s="2690"/>
      <c r="AH102" s="2690"/>
      <c r="AI102" s="2694"/>
      <c r="AJ102" s="2690"/>
      <c r="AK102" s="2690"/>
      <c r="AL102" s="1397"/>
      <c r="AM102" s="2050"/>
      <c r="AN102" s="2050"/>
      <c r="AO102" s="2050"/>
      <c r="AP102" s="2050"/>
      <c r="AQ102" s="2050"/>
      <c r="AR102" s="2050"/>
      <c r="AS102" s="2050"/>
      <c r="AT102" s="2050"/>
      <c r="AU102" s="2050"/>
      <c r="AV102" s="2050"/>
      <c r="AW102" s="2050"/>
      <c r="AX102" s="2050"/>
      <c r="AY102" s="2050"/>
      <c r="AZ102" s="2050"/>
      <c r="BA102" s="2050"/>
      <c r="BB102" s="2050"/>
      <c r="BC102" s="2050"/>
      <c r="BD102" s="2050"/>
      <c r="BE102" s="2050"/>
      <c r="BF102" s="2050"/>
    </row>
    <row s="16676" customFormat="1" customHeight="1" ht="11.25">
      <c r="A103" s="1390"/>
      <c r="B103" s="1390"/>
      <c r="C103" s="1390"/>
      <c r="D103" s="1384"/>
      <c r="E103" s="1394"/>
      <c r="F103" s="2056"/>
      <c r="G103" s="2057"/>
      <c r="H103" s="2648"/>
      <c r="I103" s="2695"/>
      <c r="J103" s="2621"/>
      <c r="K103" s="2696"/>
      <c r="L103" s="2690"/>
      <c r="M103" s="2264"/>
      <c r="N103" s="2697"/>
      <c r="O103" s="2643"/>
      <c r="P103" s="2639"/>
      <c r="Q103" s="2641"/>
      <c r="R103" s="2641"/>
      <c r="S103" s="2644"/>
      <c r="T103" s="2641"/>
      <c r="U103" s="2641"/>
      <c r="V103" s="2641"/>
      <c r="W103" s="2641"/>
      <c r="X103" s="2641"/>
      <c r="Y103" s="2641"/>
      <c r="Z103" s="2055"/>
      <c r="AA103" s="2021">
        <v>1</v>
      </c>
      <c r="AB103" s="1404"/>
      <c r="AC103" s="1393"/>
      <c r="AD103" s="1404">
        <f>AB103</f>
        <v>0</v>
      </c>
      <c r="AE103" s="1393"/>
      <c r="AF103" s="2694"/>
      <c r="AG103" s="2690"/>
      <c r="AH103" s="2690"/>
      <c r="AI103" s="2694"/>
      <c r="AJ103" s="2690"/>
      <c r="AK103" s="2690"/>
      <c r="AL103" s="1397"/>
      <c r="AM103" s="2050"/>
      <c r="AN103" s="2050"/>
      <c r="AO103" s="2050"/>
      <c r="AP103" s="2050"/>
      <c r="AQ103" s="2050"/>
      <c r="AR103" s="2050"/>
      <c r="AS103" s="2050"/>
      <c r="AT103" s="2050"/>
      <c r="AU103" s="2050"/>
      <c r="AV103" s="2050"/>
      <c r="AW103" s="2050"/>
      <c r="AX103" s="2050"/>
      <c r="AY103" s="2050"/>
      <c r="AZ103" s="2050"/>
      <c r="BA103" s="2050"/>
      <c r="BB103" s="2050"/>
      <c r="BC103" s="2050"/>
      <c r="BD103" s="2050"/>
      <c r="BE103" s="2050"/>
      <c r="BF103" s="2050"/>
    </row>
    <row s="16676" customFormat="1" customHeight="1" ht="11.25">
      <c r="A104" s="1390"/>
      <c r="B104" s="1390"/>
      <c r="C104" s="1390"/>
      <c r="D104" s="1384"/>
      <c r="E104" s="1394"/>
      <c r="F104" s="2056"/>
      <c r="G104" s="2057"/>
      <c r="H104" s="2648"/>
      <c r="I104" s="2695"/>
      <c r="J104" s="2621"/>
      <c r="K104" s="2696"/>
      <c r="L104" s="2690"/>
      <c r="M104" s="2264"/>
      <c r="N104" s="2697"/>
      <c r="O104" s="2643"/>
      <c r="P104" s="2640"/>
      <c r="Q104" s="2641"/>
      <c r="R104" s="2641"/>
      <c r="S104" s="2644"/>
      <c r="T104" s="2641"/>
      <c r="U104" s="2641"/>
      <c r="V104" s="2641"/>
      <c r="W104" s="2641"/>
      <c r="X104" s="2641"/>
      <c r="Y104" s="2641"/>
      <c r="Z104" s="1400"/>
      <c r="AA104" s="1401"/>
      <c r="AB104" s="1467" t="s">
        <v>1946</v>
      </c>
      <c r="AC104" s="1405"/>
      <c r="AD104" s="1405"/>
      <c r="AE104" s="1407"/>
      <c r="AF104" s="2694"/>
      <c r="AG104" s="2690"/>
      <c r="AH104" s="2690"/>
      <c r="AI104" s="2694"/>
      <c r="AJ104" s="2690"/>
      <c r="AK104" s="2690"/>
      <c r="AL104" s="1397"/>
      <c r="AM104" s="2050"/>
      <c r="AN104" s="2050"/>
      <c r="AO104" s="2050"/>
      <c r="AP104" s="2050"/>
      <c r="AQ104" s="2050"/>
      <c r="AR104" s="2050"/>
      <c r="AS104" s="2050"/>
      <c r="AT104" s="2050"/>
      <c r="AU104" s="2050"/>
      <c r="AV104" s="2050"/>
      <c r="AW104" s="2050"/>
      <c r="AX104" s="2050"/>
      <c r="AY104" s="2050"/>
      <c r="AZ104" s="2050"/>
      <c r="BA104" s="2050"/>
      <c r="BB104" s="2050"/>
      <c r="BC104" s="2050"/>
      <c r="BD104" s="2050"/>
      <c r="BE104" s="2050"/>
      <c r="BF104" s="2050"/>
    </row>
    <row s="16676" customFormat="1" customHeight="1" ht="11.25">
      <c r="A105" s="1390"/>
      <c r="B105" s="1390"/>
      <c r="C105" s="1390"/>
      <c r="D105" s="1384"/>
      <c r="E105" s="1394"/>
      <c r="F105" s="2056"/>
      <c r="G105" s="2057"/>
      <c r="H105" s="2648"/>
      <c r="I105" s="2695"/>
      <c r="J105" s="2621"/>
      <c r="K105" s="2696"/>
      <c r="L105" s="2690"/>
      <c r="M105" s="2264"/>
      <c r="N105" s="1401"/>
      <c r="O105" s="1401"/>
      <c r="P105" s="1392" t="s">
        <v>1947</v>
      </c>
      <c r="Q105" s="1401"/>
      <c r="R105" s="1401"/>
      <c r="S105" s="1401"/>
      <c r="T105" s="1401"/>
      <c r="U105" s="1401"/>
      <c r="V105" s="1401"/>
      <c r="W105" s="1401"/>
      <c r="X105" s="1401"/>
      <c r="Y105" s="1401"/>
      <c r="Z105" s="1401"/>
      <c r="AA105" s="1401"/>
      <c r="AB105" s="1401"/>
      <c r="AC105" s="1401"/>
      <c r="AD105" s="1401"/>
      <c r="AE105" s="1408"/>
      <c r="AF105" s="2694"/>
      <c r="AG105" s="2690"/>
      <c r="AH105" s="2690"/>
      <c r="AI105" s="2694"/>
      <c r="AJ105" s="2690"/>
      <c r="AK105" s="2690"/>
      <c r="AL105" s="1397"/>
      <c r="AM105" s="2050"/>
      <c r="AN105" s="2050"/>
      <c r="AO105" s="2050"/>
      <c r="AP105" s="2050"/>
      <c r="AQ105" s="2050"/>
      <c r="AR105" s="2050"/>
      <c r="AS105" s="2050"/>
      <c r="AT105" s="2050"/>
      <c r="AU105" s="2050"/>
      <c r="AV105" s="2050"/>
      <c r="AW105" s="2050"/>
      <c r="AX105" s="2050"/>
      <c r="AY105" s="2050"/>
      <c r="AZ105" s="2050"/>
      <c r="BA105" s="2050"/>
      <c r="BB105" s="2050"/>
      <c r="BC105" s="2050"/>
      <c r="BD105" s="2050"/>
      <c r="BE105" s="2050"/>
      <c r="BF105" s="2050"/>
    </row>
    <row r="107" s="22637" customFormat="1" customHeight="1" ht="11.25">
      <c r="A107" s="2042" t="s">
        <v>1952</v>
      </c>
    </row>
    <row customHeight="1" ht="17.25"/>
    <row s="22132" customFormat="1" customHeight="1" ht="21">
      <c r="A109" s="1391"/>
      <c r="B109" s="1162"/>
      <c r="D109" s="1146"/>
      <c r="E109" s="1161" t="s">
        <v>24</v>
      </c>
      <c r="F109" s="1345">
        <f>INDEX(IP_MAIN_LIST_NAME_IP,MATCH(A109,IP_MAIN_LIST_IP_ID,0))&amp;" ("&amp;INDEX(IP_MAIN_START_DATE,MATCH(A109,IP_MAIN_LIST_IP_ID,0))&amp;"-"&amp;INDEX(IP_MAIN_END_DATE,MATCH(A109,IP_MAIN_LIST_IP_ID,0))&amp;")"</f>
      </c>
      <c r="G109" s="1429"/>
      <c r="H109" s="1430"/>
      <c r="I109" s="1430"/>
      <c r="J109" s="1430"/>
      <c r="K109" s="1430"/>
      <c r="L109" s="1430"/>
      <c r="M109" s="1430"/>
      <c r="N109" s="1430"/>
      <c r="O109" s="1429"/>
      <c r="P109" s="1429"/>
      <c r="Q109" s="1429"/>
      <c r="R109" s="1429"/>
      <c r="S109" s="1429"/>
      <c r="T109" s="1429"/>
      <c r="U109" s="1431"/>
      <c r="V109" s="1431"/>
      <c r="W109" s="1431"/>
      <c r="X109" s="1431"/>
      <c r="Y109" s="1431"/>
      <c r="Z109" s="1431"/>
      <c r="AA109" s="1431"/>
      <c r="AB109" s="1429"/>
      <c r="AC109" s="1430"/>
      <c r="AD109" s="1430"/>
      <c r="AE109" s="1430"/>
      <c r="AF109" s="1430"/>
      <c r="AG109" s="1430"/>
      <c r="AH109" s="1430"/>
      <c r="AI109" s="1430"/>
      <c r="AJ109" s="1430"/>
      <c r="AK109" s="1430"/>
      <c r="AL109" s="1430"/>
      <c r="AM109" s="1430"/>
      <c r="AN109" s="1430"/>
      <c r="AO109" s="1430"/>
      <c r="AP109" s="1430"/>
      <c r="AQ109" s="1430"/>
      <c r="AR109" s="1430"/>
      <c r="AS109" s="1430"/>
      <c r="AT109" s="1430"/>
      <c r="AU109" s="1430"/>
      <c r="AV109" s="1430"/>
      <c r="AW109" s="1430"/>
      <c r="AX109" s="1430"/>
      <c r="AY109" s="1430"/>
      <c r="AZ109" s="1430"/>
      <c r="BA109" s="1430"/>
      <c r="BB109" s="1430"/>
      <c r="BC109" s="1430"/>
      <c r="BD109" s="1430"/>
      <c r="BE109" s="1430"/>
      <c r="BF109" s="1430"/>
      <c r="BG109" s="1430"/>
      <c r="BH109" s="1430"/>
      <c r="BI109" s="1430"/>
      <c r="BJ109" s="1430"/>
      <c r="BK109" s="1430"/>
      <c r="BL109" s="1430"/>
      <c r="BM109" s="1430"/>
      <c r="BN109" s="1430"/>
      <c r="BO109" s="1430"/>
      <c r="BP109" s="1430"/>
      <c r="BQ109" s="1430"/>
      <c r="BR109" s="1430"/>
      <c r="BS109" s="1430"/>
      <c r="BT109" s="1430"/>
      <c r="BU109" s="1430"/>
      <c r="BV109" s="1430"/>
      <c r="BW109" s="1430"/>
      <c r="BX109" s="1430"/>
      <c r="BY109" s="1430"/>
      <c r="BZ109" s="1430"/>
      <c r="CA109" s="1430"/>
      <c r="CB109" s="1430"/>
      <c r="CC109" s="1430"/>
      <c r="CD109" s="1430"/>
      <c r="CE109" s="1430"/>
      <c r="CF109" s="1430"/>
      <c r="CG109" s="1430"/>
      <c r="CH109" s="1430"/>
      <c r="CI109" s="1430"/>
      <c r="CJ109" s="1430"/>
      <c r="CK109" s="1430"/>
      <c r="CL109" s="1432"/>
      <c r="CM109" s="1432"/>
      <c r="CN109" s="1432"/>
      <c r="CO109" s="1432"/>
      <c r="CP109" s="1432"/>
      <c r="CQ109" s="1432"/>
      <c r="CR109" s="1432"/>
      <c r="CS109" s="1432"/>
      <c r="CT109" s="1432"/>
      <c r="CU109" s="1432"/>
      <c r="CV109" s="1432"/>
      <c r="CW109" s="1432"/>
      <c r="CX109" s="1432"/>
      <c r="CY109" s="1432"/>
      <c r="CZ109" s="1432"/>
      <c r="DA109" s="1432"/>
      <c r="DB109" s="1432"/>
      <c r="DC109" s="1432"/>
      <c r="DD109" s="1432"/>
      <c r="DE109" s="1432"/>
      <c r="DF109" s="1432"/>
      <c r="DG109" s="1432"/>
      <c r="DH109" s="1432"/>
      <c r="DI109" s="1432"/>
      <c r="DJ109" s="1432"/>
      <c r="DK109" s="1432"/>
      <c r="DL109" s="1432"/>
      <c r="DM109" s="1432"/>
      <c r="DN109" s="1432"/>
      <c r="DO109" s="1432"/>
      <c r="DP109" s="1432"/>
      <c r="DQ109" s="1432"/>
      <c r="DR109" s="1432"/>
      <c r="DS109" s="1432"/>
      <c r="DT109" s="1432"/>
      <c r="DU109" s="1432"/>
      <c r="DV109" s="1432"/>
      <c r="DW109" s="1432"/>
      <c r="DX109" s="1432"/>
      <c r="DY109" s="1432"/>
      <c r="DZ109" s="1432"/>
      <c r="EA109" s="1432"/>
      <c r="EB109" s="1432"/>
      <c r="EC109" s="1432"/>
      <c r="ED109" s="1432"/>
      <c r="EE109" s="1432"/>
      <c r="EF109" s="1432"/>
      <c r="EG109" s="1432"/>
      <c r="EH109" s="1432"/>
      <c r="EI109" s="1432"/>
      <c r="EJ109" s="1432"/>
      <c r="EK109" s="1432"/>
      <c r="EL109" s="1432"/>
      <c r="EM109" s="1432"/>
      <c r="EN109" s="1432"/>
      <c r="EO109" s="1432"/>
      <c r="EP109" s="1432"/>
      <c r="EQ109" s="1432"/>
      <c r="ER109" s="1432"/>
      <c r="ES109" s="1432"/>
      <c r="ET109" s="1432"/>
      <c r="EU109" s="1432"/>
      <c r="EV109" s="1432"/>
      <c r="EW109" s="1432"/>
      <c r="EX109" s="1432"/>
      <c r="EY109" s="1432"/>
      <c r="EZ109" s="1432"/>
      <c r="FA109" s="1432"/>
      <c r="FB109" s="1432"/>
      <c r="FC109" s="1432"/>
      <c r="FD109" s="1432"/>
      <c r="FE109" s="1432"/>
      <c r="FF109" s="1432"/>
      <c r="FG109" s="1432"/>
      <c r="FH109" s="1432"/>
      <c r="FI109" s="1432"/>
      <c r="FJ109" s="1432"/>
      <c r="FK109" s="1432"/>
      <c r="FL109" s="1432"/>
      <c r="FM109" s="1432"/>
      <c r="FN109" s="1432"/>
      <c r="FO109" s="1432"/>
      <c r="FP109" s="1432"/>
      <c r="FQ109" s="1432"/>
      <c r="FR109" s="1432"/>
      <c r="FS109" s="1432"/>
      <c r="FT109" s="1432"/>
      <c r="FU109" s="1432"/>
      <c r="FV109" s="1433"/>
      <c r="FW109" s="1427"/>
      <c r="FX109" s="1428"/>
    </row>
    <row s="22132" customFormat="1" customHeight="1" ht="24.75">
      <c r="B110" s="1145"/>
      <c r="C110" s="1146"/>
      <c r="D110" s="1146"/>
      <c r="E110" s="2062"/>
      <c r="F110" s="1434">
        <v>1</v>
      </c>
      <c r="G110" s="1435"/>
      <c r="H110" s="1436"/>
      <c r="I110" s="2211"/>
      <c r="J110" s="1437"/>
      <c r="K110" s="1437"/>
      <c r="L110" s="1437"/>
      <c r="M110" s="1437"/>
      <c r="N110" s="1437"/>
      <c r="O110" s="1438"/>
      <c r="P110" s="1438"/>
      <c r="Q110" s="1438"/>
      <c r="R110" s="1438"/>
      <c r="S110" s="1438"/>
      <c r="T110" s="1438"/>
      <c r="U110" s="1438"/>
      <c r="V110" s="1438"/>
      <c r="W110" s="1438"/>
      <c r="X110" s="1438"/>
      <c r="Y110" s="1438"/>
      <c r="Z110" s="1438"/>
      <c r="AA110" s="1438"/>
      <c r="AB110" s="1438"/>
      <c r="AC110" s="1437"/>
      <c r="AD110" s="1437"/>
      <c r="AE110" s="1437"/>
      <c r="AF110" s="1437"/>
      <c r="AG110" s="1437"/>
      <c r="AH110" s="1437"/>
      <c r="AI110" s="1437"/>
      <c r="AJ110" s="1437"/>
      <c r="AK110" s="1437"/>
      <c r="AL110" s="1437"/>
      <c r="AM110" s="1437"/>
      <c r="AN110" s="1437"/>
      <c r="AO110" s="1437"/>
      <c r="AP110" s="1437"/>
      <c r="AQ110" s="1437"/>
      <c r="AR110" s="1437"/>
      <c r="AS110" s="1437"/>
      <c r="AT110" s="1437"/>
      <c r="AU110" s="1437"/>
      <c r="AV110" s="1437"/>
      <c r="AW110" s="1437"/>
      <c r="AX110" s="1437"/>
      <c r="AY110" s="1437"/>
      <c r="AZ110" s="1437"/>
      <c r="BA110" s="1437"/>
      <c r="BB110" s="1437"/>
      <c r="BC110" s="1437"/>
      <c r="BD110" s="1437"/>
      <c r="BE110" s="1437"/>
      <c r="BF110" s="1437"/>
      <c r="BG110" s="1437"/>
      <c r="BH110" s="1437"/>
      <c r="BI110" s="1437"/>
      <c r="BJ110" s="1437"/>
      <c r="BK110" s="1437"/>
      <c r="BL110" s="1437"/>
      <c r="BM110" s="1437"/>
      <c r="BN110" s="1437"/>
      <c r="BO110" s="1437"/>
      <c r="BP110" s="1437"/>
      <c r="BQ110" s="1437"/>
      <c r="BR110" s="1437"/>
      <c r="BS110" s="1437"/>
      <c r="BT110" s="1438"/>
      <c r="BU110" s="1438"/>
      <c r="BV110" s="1438"/>
      <c r="BW110" s="1438"/>
      <c r="BX110" s="1438"/>
      <c r="BY110" s="1438"/>
      <c r="BZ110" s="1438"/>
      <c r="CA110" s="1438"/>
      <c r="CB110" s="1438"/>
      <c r="CC110" s="1438"/>
      <c r="CD110" s="1438"/>
      <c r="CE110" s="1438"/>
      <c r="CF110" s="1438"/>
      <c r="CG110" s="1438"/>
      <c r="CH110" s="1438"/>
      <c r="CI110" s="1438"/>
      <c r="CJ110" s="1438"/>
      <c r="CK110" s="1438"/>
      <c r="CL110" s="1437"/>
      <c r="CM110" s="1437"/>
      <c r="CN110" s="1437"/>
      <c r="CO110" s="1437"/>
      <c r="CP110" s="1437"/>
      <c r="CQ110" s="1437"/>
      <c r="CR110" s="1437"/>
      <c r="CS110" s="1437"/>
      <c r="CT110" s="1437"/>
      <c r="CU110" s="1437"/>
      <c r="CV110" s="1437"/>
      <c r="CW110" s="1437"/>
      <c r="CX110" s="1437"/>
      <c r="CY110" s="1438"/>
      <c r="CZ110" s="1438"/>
      <c r="DA110" s="1438"/>
      <c r="DB110" s="1438"/>
      <c r="DC110" s="1438"/>
      <c r="DD110" s="1438"/>
      <c r="DE110" s="1438"/>
      <c r="DF110" s="1438"/>
      <c r="DG110" s="1438"/>
      <c r="DH110" s="1438"/>
      <c r="DI110" s="1438"/>
      <c r="DJ110" s="1438"/>
      <c r="DK110" s="1437"/>
      <c r="DL110" s="1437"/>
      <c r="DM110" s="1437"/>
      <c r="DN110" s="1437"/>
      <c r="DO110" s="1437"/>
      <c r="DP110" s="1437"/>
      <c r="DQ110" s="1437"/>
      <c r="DR110" s="1437"/>
      <c r="DS110" s="1437"/>
      <c r="DT110" s="1437"/>
      <c r="DU110" s="1437"/>
      <c r="DV110" s="1437"/>
      <c r="DW110" s="1437"/>
      <c r="DX110" s="1437"/>
      <c r="DY110" s="1437"/>
      <c r="DZ110" s="1437"/>
      <c r="EA110" s="1437"/>
      <c r="EB110" s="1437"/>
      <c r="EC110" s="1437"/>
      <c r="ED110" s="1437"/>
      <c r="EE110" s="1437"/>
      <c r="EF110" s="1437"/>
      <c r="EG110" s="1437"/>
      <c r="EH110" s="1437"/>
      <c r="EI110" s="1437"/>
      <c r="EJ110" s="1437"/>
      <c r="EK110" s="1437"/>
      <c r="EL110" s="1437"/>
      <c r="EM110" s="1437"/>
      <c r="EN110" s="1437"/>
      <c r="EO110" s="1437"/>
      <c r="EP110" s="1437"/>
      <c r="EQ110" s="1437"/>
      <c r="ER110" s="1437"/>
      <c r="ES110" s="1437"/>
      <c r="ET110" s="1437"/>
      <c r="EU110" s="1437"/>
      <c r="EV110" s="1437"/>
      <c r="EW110" s="1437"/>
      <c r="EX110" s="1437"/>
      <c r="EY110" s="1437"/>
      <c r="EZ110" s="1437"/>
      <c r="FA110" s="1437"/>
      <c r="FB110" s="1437"/>
      <c r="FC110" s="1437"/>
      <c r="FD110" s="1437"/>
      <c r="FE110" s="1437"/>
      <c r="FF110" s="1437"/>
      <c r="FG110" s="1437"/>
      <c r="FH110" s="1437"/>
      <c r="FI110" s="1437"/>
      <c r="FJ110" s="1437"/>
      <c r="FK110" s="1437"/>
      <c r="FL110" s="1437"/>
      <c r="FM110" s="1437"/>
      <c r="FN110" s="1437"/>
      <c r="FO110" s="1437"/>
      <c r="FP110" s="1437"/>
      <c r="FQ110" s="1437"/>
      <c r="FR110" s="1437"/>
      <c r="FS110" s="1437"/>
      <c r="FT110" s="1437"/>
      <c r="FU110" s="1437"/>
      <c r="FV110" s="1437"/>
      <c r="FW110" s="1437"/>
      <c r="FX110" s="1428"/>
    </row>
    <row s="22132" customFormat="1" customHeight="1" ht="12">
      <c r="A111" s="1146"/>
      <c r="B111" s="1145"/>
      <c r="C111" s="1146"/>
      <c r="D111" s="1146"/>
      <c r="E111" s="1146"/>
      <c r="F111" s="1439"/>
      <c r="G111" s="2027" t="s">
        <v>1953</v>
      </c>
      <c r="H111" s="1440"/>
      <c r="I111" s="1440"/>
      <c r="J111" s="1440"/>
      <c r="K111" s="1440"/>
      <c r="L111" s="1440"/>
      <c r="M111" s="1440"/>
      <c r="N111" s="1440"/>
      <c r="O111" s="1440"/>
      <c r="P111" s="1440"/>
      <c r="Q111" s="1440"/>
      <c r="R111" s="1440"/>
      <c r="S111" s="1440"/>
      <c r="T111" s="1440"/>
      <c r="U111" s="1440"/>
      <c r="V111" s="1440"/>
      <c r="W111" s="1440"/>
      <c r="X111" s="1440"/>
      <c r="Y111" s="1440"/>
      <c r="Z111" s="1440"/>
      <c r="AA111" s="1440"/>
      <c r="AB111" s="1440"/>
      <c r="AC111" s="1440"/>
      <c r="AD111" s="1440"/>
      <c r="AE111" s="1440"/>
      <c r="AF111" s="1440"/>
      <c r="AG111" s="1440"/>
      <c r="AH111" s="1440"/>
      <c r="AI111" s="1440"/>
      <c r="AJ111" s="1440"/>
      <c r="AK111" s="1440"/>
      <c r="AL111" s="1440"/>
      <c r="AM111" s="1440"/>
      <c r="AN111" s="1440"/>
      <c r="AO111" s="1440"/>
      <c r="AP111" s="1440"/>
      <c r="AQ111" s="1440"/>
      <c r="AR111" s="1440"/>
      <c r="AS111" s="1440"/>
      <c r="AT111" s="1440"/>
      <c r="AU111" s="1440"/>
      <c r="AV111" s="1440"/>
      <c r="AW111" s="1440"/>
      <c r="AX111" s="1440"/>
      <c r="AY111" s="1440"/>
      <c r="AZ111" s="1440"/>
      <c r="BA111" s="1440"/>
      <c r="BB111" s="1440"/>
      <c r="BC111" s="1440"/>
      <c r="BD111" s="1440"/>
      <c r="BE111" s="1440"/>
      <c r="BF111" s="1440"/>
      <c r="BG111" s="1440"/>
      <c r="BH111" s="1440"/>
      <c r="BI111" s="1440"/>
      <c r="BJ111" s="1440"/>
      <c r="BK111" s="1440"/>
      <c r="BL111" s="1440"/>
      <c r="BM111" s="1440"/>
      <c r="BN111" s="1440"/>
      <c r="BO111" s="1440"/>
      <c r="BP111" s="1440"/>
      <c r="BQ111" s="1440"/>
      <c r="BR111" s="1440"/>
      <c r="BS111" s="1440"/>
      <c r="BT111" s="1440"/>
      <c r="BU111" s="1440"/>
      <c r="BV111" s="1440"/>
      <c r="BW111" s="1440"/>
      <c r="BX111" s="1440"/>
      <c r="BY111" s="1440"/>
      <c r="BZ111" s="1440"/>
      <c r="CA111" s="1440"/>
      <c r="CB111" s="1440"/>
      <c r="CC111" s="1440"/>
      <c r="CD111" s="1440"/>
      <c r="CE111" s="1440"/>
      <c r="CF111" s="1440"/>
      <c r="CG111" s="1440"/>
      <c r="CH111" s="1440"/>
      <c r="CI111" s="1440"/>
      <c r="CJ111" s="1440"/>
      <c r="CK111" s="1440"/>
      <c r="CL111" s="1440"/>
      <c r="CM111" s="1440"/>
      <c r="CN111" s="1440"/>
      <c r="CO111" s="1440"/>
      <c r="CP111" s="1440"/>
      <c r="CQ111" s="1440"/>
      <c r="CR111" s="1440"/>
      <c r="CS111" s="1440"/>
      <c r="CT111" s="1440"/>
      <c r="CU111" s="1440"/>
      <c r="CV111" s="1440"/>
      <c r="CW111" s="1440"/>
      <c r="CX111" s="1440"/>
      <c r="CY111" s="1440"/>
      <c r="CZ111" s="1440"/>
      <c r="DA111" s="1440"/>
      <c r="DB111" s="1440"/>
      <c r="DC111" s="1440"/>
      <c r="DD111" s="1440"/>
      <c r="DE111" s="1440"/>
      <c r="DF111" s="1440"/>
      <c r="DG111" s="1440"/>
      <c r="DH111" s="1440"/>
      <c r="DI111" s="1440"/>
      <c r="DJ111" s="1440"/>
      <c r="DK111" s="1440"/>
      <c r="DL111" s="1440"/>
      <c r="DM111" s="1440"/>
      <c r="DN111" s="1440"/>
      <c r="DO111" s="1440"/>
      <c r="DP111" s="1440"/>
      <c r="DQ111" s="1440"/>
      <c r="DR111" s="1440"/>
      <c r="DS111" s="1440"/>
      <c r="DT111" s="1440"/>
      <c r="DU111" s="1440"/>
      <c r="DV111" s="1440"/>
      <c r="DW111" s="1440"/>
      <c r="DX111" s="1440"/>
      <c r="DY111" s="1440"/>
      <c r="DZ111" s="1440"/>
      <c r="EA111" s="1440"/>
      <c r="EB111" s="1440"/>
      <c r="EC111" s="1440"/>
      <c r="ED111" s="1440"/>
      <c r="EE111" s="1440"/>
      <c r="EF111" s="1440"/>
      <c r="EG111" s="1440"/>
      <c r="EH111" s="1440"/>
      <c r="EI111" s="1440"/>
      <c r="EJ111" s="1440"/>
      <c r="EK111" s="1440"/>
      <c r="EL111" s="1440"/>
      <c r="EM111" s="1440"/>
      <c r="EN111" s="1440"/>
      <c r="EO111" s="1440"/>
      <c r="EP111" s="1440"/>
      <c r="EQ111" s="1440"/>
      <c r="ER111" s="1440"/>
      <c r="ES111" s="1440"/>
      <c r="ET111" s="1440"/>
      <c r="EU111" s="1440"/>
      <c r="EV111" s="1440"/>
      <c r="EW111" s="1440"/>
      <c r="EX111" s="1440"/>
      <c r="EY111" s="1440"/>
      <c r="EZ111" s="1440"/>
      <c r="FA111" s="1440"/>
      <c r="FB111" s="1440"/>
      <c r="FC111" s="1440"/>
      <c r="FD111" s="1440"/>
      <c r="FE111" s="1440"/>
      <c r="FF111" s="1440"/>
      <c r="FG111" s="1440"/>
      <c r="FH111" s="1440"/>
      <c r="FI111" s="1440"/>
      <c r="FJ111" s="1440"/>
      <c r="FK111" s="1440"/>
      <c r="FL111" s="1440"/>
      <c r="FM111" s="1440"/>
      <c r="FN111" s="1440"/>
      <c r="FO111" s="1440"/>
      <c r="FP111" s="1440"/>
      <c r="FQ111" s="1440"/>
      <c r="FR111" s="1440"/>
      <c r="FS111" s="1440"/>
      <c r="FT111" s="1440"/>
      <c r="FU111" s="1440"/>
      <c r="FV111" s="1440"/>
      <c r="FW111" s="1441"/>
      <c r="FX111" s="1442"/>
      <c r="FY111" s="1163"/>
      <c r="FZ111" s="1163"/>
      <c r="GA111" s="1163"/>
      <c r="GB111" s="1163"/>
    </row>
    <row r="113" s="22637" customFormat="1" customHeight="1" ht="11.25">
      <c r="A113" s="2042" t="s">
        <v>1954</v>
      </c>
    </row>
    <row r="115" s="15824" customFormat="1" customHeight="1" ht="15">
      <c r="A115" s="845"/>
      <c r="B115" s="846"/>
      <c r="C115" s="846"/>
      <c r="D115" s="2653" t="s">
        <v>168</v>
      </c>
      <c r="E115" s="2509" t="s">
        <v>164</v>
      </c>
      <c r="F115" s="2510"/>
      <c r="G115" s="2511"/>
      <c r="H115" s="2504" t="str">
        <f>IF(A115="","",INDEX(DIFFERENTIATION_UNMERGE_VD,MATCH(A115,DIFFERENTIATION_ID_DIFF,0)))</f>
        <v/>
      </c>
      <c r="I115" s="2504"/>
      <c r="J115" s="2504"/>
      <c r="K115" s="2504"/>
      <c r="L115" s="2504"/>
      <c r="M115" s="2504"/>
      <c r="N115" s="2504"/>
      <c r="O115" s="2504"/>
      <c r="P115" s="2504"/>
      <c r="Q115" s="2504"/>
      <c r="R115" s="2504"/>
      <c r="S115" s="941"/>
      <c r="T115" s="938"/>
      <c r="U115" s="847"/>
      <c r="V115" s="847"/>
      <c r="W115" s="848"/>
      <c r="X115" s="848"/>
      <c r="Y115" s="848"/>
      <c r="Z115" s="848"/>
      <c r="AA115" s="849"/>
      <c r="AB115" s="850"/>
      <c r="AC115" s="2508"/>
      <c r="AD115" s="851"/>
      <c r="AE115" s="852" t="s">
        <v>24</v>
      </c>
      <c r="AF115" s="852"/>
      <c r="AG115" s="853" t="s">
        <v>715</v>
      </c>
      <c r="AH115" s="854">
        <v>3</v>
      </c>
      <c r="AI115" s="847"/>
      <c r="AJ115" s="847"/>
      <c r="AK115" s="847"/>
      <c r="AL115" s="847"/>
      <c r="AM115" s="847"/>
      <c r="AN115" s="847"/>
      <c r="AO115" s="847"/>
      <c r="AP115" s="847"/>
      <c r="AQ115" s="847"/>
      <c r="AR115" s="847"/>
      <c r="AS115" s="847"/>
      <c r="AT115" s="847"/>
      <c r="AU115" s="847"/>
      <c r="AV115" s="847"/>
      <c r="AW115" s="847"/>
      <c r="AX115" s="847"/>
      <c r="AY115" s="847"/>
      <c r="AZ115" s="847"/>
      <c r="BA115" s="847"/>
      <c r="BB115" s="847"/>
      <c r="BC115" s="847"/>
      <c r="BD115" s="847"/>
      <c r="BE115" s="847"/>
      <c r="BF115" s="847"/>
      <c r="BG115" s="847"/>
      <c r="BH115" s="847"/>
      <c r="BI115" s="847"/>
      <c r="BJ115" s="847"/>
      <c r="BK115" s="847"/>
      <c r="BL115" s="847"/>
      <c r="BM115" s="847"/>
      <c r="BN115" s="847"/>
      <c r="BO115" s="847"/>
      <c r="BP115" s="847"/>
      <c r="BQ115" s="847"/>
      <c r="BR115" s="847"/>
      <c r="BS115" s="847"/>
      <c r="BT115" s="847"/>
      <c r="BU115" s="847"/>
      <c r="BV115" s="848"/>
      <c r="BW115" s="848"/>
      <c r="BX115" s="848"/>
      <c r="BY115" s="848"/>
      <c r="BZ115" s="848"/>
      <c r="CA115" s="848"/>
      <c r="CB115" s="848"/>
      <c r="CC115" s="848"/>
      <c r="CD115" s="848"/>
      <c r="CE115" s="848"/>
    </row>
    <row s="15824" customFormat="1" customHeight="1" ht="15">
      <c r="A116" s="845"/>
      <c r="B116" s="846"/>
      <c r="C116" s="846"/>
      <c r="D116" s="2654"/>
      <c r="E116" s="2509" t="s">
        <v>670</v>
      </c>
      <c r="F116" s="2510"/>
      <c r="G116" s="2511"/>
      <c r="H116" s="2504" t="str">
        <f>IF(A115="","",INDEX(DIFFERENTIATION_UNMERGE_AREA,MATCH(A115,DIFFERENTIATION_ID_DIFF,0)))</f>
        <v/>
      </c>
      <c r="I116" s="2504"/>
      <c r="J116" s="2504"/>
      <c r="K116" s="2504"/>
      <c r="L116" s="2504"/>
      <c r="M116" s="2504"/>
      <c r="N116" s="2504"/>
      <c r="O116" s="2504"/>
      <c r="P116" s="2504"/>
      <c r="Q116" s="2504"/>
      <c r="R116" s="2504"/>
      <c r="S116" s="941"/>
      <c r="T116" s="938"/>
      <c r="U116" s="847"/>
      <c r="V116" s="847"/>
      <c r="W116" s="848"/>
      <c r="X116" s="848"/>
      <c r="Y116" s="848"/>
      <c r="Z116" s="848"/>
      <c r="AA116" s="849"/>
      <c r="AB116" s="850"/>
      <c r="AC116" s="2508"/>
      <c r="AD116" s="851"/>
      <c r="AE116" s="852"/>
      <c r="AF116" s="852"/>
      <c r="AG116" s="853"/>
      <c r="AH116" s="854"/>
      <c r="AI116" s="847"/>
      <c r="AJ116" s="847"/>
      <c r="AK116" s="847"/>
      <c r="AL116" s="847"/>
      <c r="AM116" s="847"/>
      <c r="AN116" s="847"/>
      <c r="AO116" s="847"/>
      <c r="AP116" s="847"/>
      <c r="AQ116" s="847"/>
      <c r="AR116" s="847"/>
      <c r="AS116" s="847"/>
      <c r="AT116" s="847"/>
      <c r="AU116" s="847"/>
      <c r="AV116" s="847"/>
      <c r="AW116" s="847"/>
      <c r="AX116" s="847"/>
      <c r="AY116" s="847"/>
      <c r="AZ116" s="847"/>
      <c r="BA116" s="847"/>
      <c r="BB116" s="847"/>
      <c r="BC116" s="847"/>
      <c r="BD116" s="847"/>
      <c r="BE116" s="847"/>
      <c r="BF116" s="847"/>
      <c r="BG116" s="847"/>
      <c r="BH116" s="847"/>
      <c r="BI116" s="847"/>
      <c r="BJ116" s="847"/>
      <c r="BK116" s="847"/>
      <c r="BL116" s="847"/>
      <c r="BM116" s="847"/>
      <c r="BN116" s="847"/>
      <c r="BO116" s="847"/>
      <c r="BP116" s="847"/>
      <c r="BQ116" s="847"/>
      <c r="BR116" s="847"/>
      <c r="BS116" s="847"/>
      <c r="BT116" s="847"/>
      <c r="BU116" s="847"/>
      <c r="BV116" s="848"/>
      <c r="BW116" s="848"/>
      <c r="BX116" s="848"/>
      <c r="BY116" s="848"/>
      <c r="BZ116" s="848"/>
      <c r="CA116" s="848"/>
      <c r="CB116" s="848"/>
      <c r="CC116" s="848"/>
      <c r="CD116" s="848"/>
      <c r="CE116" s="848"/>
    </row>
    <row s="15824" customFormat="1" customHeight="1" ht="15">
      <c r="A117" s="845"/>
      <c r="B117" s="846"/>
      <c r="C117" s="846"/>
      <c r="D117" s="2654"/>
      <c r="E117" s="2509" t="s">
        <v>671</v>
      </c>
      <c r="F117" s="2510"/>
      <c r="G117" s="2511"/>
      <c r="H117" s="2504" t="str">
        <f>IF(A115="","",INDEX(DIFFERENTIATION_UNMERGE_SYSTEM,MATCH(A115,DIFFERENTIATION_ID_DIFF,0)))</f>
        <v/>
      </c>
      <c r="I117" s="2504"/>
      <c r="J117" s="2504"/>
      <c r="K117" s="2504"/>
      <c r="L117" s="2504"/>
      <c r="M117" s="2504"/>
      <c r="N117" s="2504"/>
      <c r="O117" s="2504"/>
      <c r="P117" s="2504"/>
      <c r="Q117" s="2504"/>
      <c r="R117" s="2504"/>
      <c r="S117" s="941"/>
      <c r="T117" s="938"/>
      <c r="U117" s="847"/>
      <c r="V117" s="847"/>
      <c r="W117" s="848"/>
      <c r="X117" s="848"/>
      <c r="Y117" s="848"/>
      <c r="Z117" s="848"/>
      <c r="AA117" s="849"/>
      <c r="AB117" s="850"/>
      <c r="AC117" s="2508"/>
      <c r="AD117" s="851"/>
      <c r="AE117" s="852"/>
      <c r="AF117" s="852"/>
      <c r="AG117" s="853"/>
      <c r="AH117" s="854"/>
      <c r="AI117" s="847"/>
      <c r="AJ117" s="847"/>
      <c r="AK117" s="847"/>
      <c r="AL117" s="847"/>
      <c r="AM117" s="847"/>
      <c r="AN117" s="847"/>
      <c r="AO117" s="847"/>
      <c r="AP117" s="847"/>
      <c r="AQ117" s="847"/>
      <c r="AR117" s="847"/>
      <c r="AS117" s="847"/>
      <c r="AT117" s="847"/>
      <c r="AU117" s="847"/>
      <c r="AV117" s="847"/>
      <c r="AW117" s="847"/>
      <c r="AX117" s="847"/>
      <c r="AY117" s="847"/>
      <c r="AZ117" s="847"/>
      <c r="BA117" s="847"/>
      <c r="BB117" s="847"/>
      <c r="BC117" s="847"/>
      <c r="BD117" s="847"/>
      <c r="BE117" s="847"/>
      <c r="BF117" s="847"/>
      <c r="BG117" s="847"/>
      <c r="BH117" s="847"/>
      <c r="BI117" s="847"/>
      <c r="BJ117" s="847"/>
      <c r="BK117" s="847"/>
      <c r="BL117" s="847"/>
      <c r="BM117" s="847"/>
      <c r="BN117" s="847"/>
      <c r="BO117" s="847"/>
      <c r="BP117" s="847"/>
      <c r="BQ117" s="847"/>
      <c r="BR117" s="847"/>
      <c r="BS117" s="847"/>
      <c r="BT117" s="847"/>
      <c r="BU117" s="847"/>
      <c r="BV117" s="848"/>
      <c r="BW117" s="848"/>
      <c r="BX117" s="848"/>
      <c r="BY117" s="848"/>
      <c r="BZ117" s="848"/>
      <c r="CA117" s="848"/>
      <c r="CB117" s="848"/>
      <c r="CC117" s="848"/>
      <c r="CD117" s="848"/>
      <c r="CE117" s="848"/>
    </row>
    <row s="15824" customFormat="1" customHeight="1" ht="24.75">
      <c r="A118" s="2033"/>
      <c r="B118" s="1384"/>
      <c r="C118" s="634"/>
      <c r="D118" s="2654"/>
      <c r="E118" s="2506" t="s">
        <v>716</v>
      </c>
      <c r="F118" s="2506"/>
      <c r="G118" s="2506"/>
      <c r="H118" s="2506"/>
      <c r="I118" s="2506"/>
      <c r="J118" s="2506"/>
      <c r="K118" s="2506"/>
      <c r="L118" s="2506"/>
      <c r="M118" s="2506"/>
      <c r="N118" s="2506"/>
      <c r="O118" s="2506"/>
      <c r="P118" s="2506"/>
      <c r="Q118" s="780">
        <f>SUMIF(T119:T120,"i",Q119:Q120)</f>
        <v>0</v>
      </c>
      <c r="R118" s="1240"/>
      <c r="S118" s="2025" t="s">
        <v>717</v>
      </c>
      <c r="T118" s="939" t="s">
        <v>718</v>
      </c>
      <c r="U118" s="2507">
        <v>1</v>
      </c>
      <c r="V118" s="2507" t="s">
        <v>681</v>
      </c>
      <c r="W118" s="1384"/>
      <c r="X118" s="1384"/>
      <c r="Y118" s="1384"/>
      <c r="Z118" s="1384"/>
      <c r="AA118" s="1863"/>
      <c r="AB118" s="1384"/>
      <c r="AC118" s="2508"/>
      <c r="AD118" s="851"/>
      <c r="AE118" s="1384"/>
      <c r="AF118" s="1384"/>
      <c r="AG118" s="1863"/>
      <c r="AH118" s="1863"/>
      <c r="AI118" s="1863"/>
      <c r="AJ118" s="1863"/>
      <c r="AK118" s="1863"/>
      <c r="AL118" s="1863"/>
      <c r="AM118" s="1863"/>
      <c r="AN118" s="1863"/>
      <c r="AO118" s="1863"/>
      <c r="AP118" s="1863"/>
      <c r="AQ118" s="1863"/>
      <c r="AR118" s="1863"/>
      <c r="AS118" s="1863"/>
      <c r="AT118" s="1863"/>
      <c r="AU118" s="1863"/>
      <c r="AV118" s="1863"/>
      <c r="AW118" s="1863"/>
      <c r="AX118" s="1863"/>
      <c r="AY118" s="1863"/>
      <c r="AZ118" s="1863"/>
      <c r="BA118" s="1863"/>
      <c r="BB118" s="1863"/>
      <c r="BC118" s="1863"/>
      <c r="BD118" s="1863"/>
      <c r="BE118" s="1863"/>
      <c r="BF118" s="1863"/>
      <c r="BG118" s="1863"/>
      <c r="BH118" s="1863"/>
      <c r="BI118" s="1863"/>
      <c r="BJ118" s="1863"/>
      <c r="BK118" s="1863"/>
      <c r="BL118" s="1863"/>
      <c r="BM118" s="1863"/>
      <c r="BN118" s="1863"/>
      <c r="BO118" s="1863"/>
      <c r="BP118" s="1863"/>
      <c r="BQ118" s="1863"/>
      <c r="BR118" s="1863"/>
      <c r="BS118" s="1863"/>
      <c r="BT118" s="1863"/>
      <c r="BU118" s="1863"/>
      <c r="BV118" s="1384"/>
      <c r="BW118" s="1384"/>
      <c r="BX118" s="1384"/>
      <c r="BY118" s="1384"/>
      <c r="BZ118" s="1384"/>
      <c r="CA118" s="1384"/>
      <c r="CB118" s="1384"/>
      <c r="CC118" s="1384"/>
      <c r="CD118" s="1384"/>
      <c r="CE118" s="1384"/>
    </row>
    <row s="15824" customFormat="1" customHeight="1" ht="11.25" hidden="1">
      <c r="A119" s="2020"/>
      <c r="B119" s="1863"/>
      <c r="C119" s="1863"/>
      <c r="D119" s="2654"/>
      <c r="E119" s="857"/>
      <c r="F119" s="857">
        <v>0</v>
      </c>
      <c r="G119" s="857"/>
      <c r="H119" s="857"/>
      <c r="I119" s="857"/>
      <c r="J119" s="857"/>
      <c r="K119" s="857"/>
      <c r="L119" s="857"/>
      <c r="M119" s="857"/>
      <c r="N119" s="857"/>
      <c r="O119" s="857"/>
      <c r="P119" s="857"/>
      <c r="Q119" s="857"/>
      <c r="R119" s="857"/>
      <c r="S119" s="858"/>
      <c r="T119" s="940"/>
      <c r="U119" s="2507"/>
      <c r="V119" s="2507"/>
      <c r="W119" s="1863"/>
      <c r="X119" s="1863"/>
      <c r="Y119" s="1863"/>
      <c r="Z119" s="1863"/>
      <c r="AA119" s="1863"/>
      <c r="AB119" s="1384"/>
      <c r="AC119" s="2508"/>
      <c r="AD119" s="851"/>
      <c r="AE119" s="1384"/>
      <c r="AF119" s="1384"/>
      <c r="AG119" s="1863"/>
      <c r="AH119" s="1863"/>
      <c r="AI119" s="1863"/>
      <c r="AJ119" s="1863"/>
      <c r="AK119" s="1863"/>
      <c r="AL119" s="1863"/>
      <c r="AM119" s="1863"/>
      <c r="AN119" s="1863"/>
      <c r="AO119" s="1863"/>
      <c r="AP119" s="1863"/>
      <c r="AQ119" s="1863"/>
      <c r="AR119" s="1863"/>
      <c r="AS119" s="1863"/>
      <c r="AT119" s="1863"/>
      <c r="AU119" s="1863"/>
      <c r="AV119" s="1863"/>
      <c r="AW119" s="1863"/>
      <c r="AX119" s="1863"/>
      <c r="AY119" s="1863"/>
      <c r="AZ119" s="1863"/>
      <c r="BA119" s="1863"/>
      <c r="BB119" s="1863"/>
      <c r="BC119" s="1863"/>
      <c r="BD119" s="1863"/>
      <c r="BE119" s="1863"/>
      <c r="BF119" s="1863"/>
      <c r="BG119" s="1863"/>
      <c r="BH119" s="1863"/>
      <c r="BI119" s="1863"/>
      <c r="BJ119" s="1863"/>
      <c r="BK119" s="1863"/>
      <c r="BL119" s="1863"/>
      <c r="BM119" s="1863"/>
      <c r="BN119" s="1863"/>
      <c r="BO119" s="1863"/>
      <c r="BP119" s="1863"/>
      <c r="BQ119" s="1863"/>
      <c r="BR119" s="1863"/>
      <c r="BS119" s="1863"/>
      <c r="BT119" s="1863"/>
      <c r="BU119" s="1863"/>
      <c r="BV119" s="1863"/>
      <c r="BW119" s="1863"/>
      <c r="BX119" s="1863"/>
      <c r="BY119" s="1863"/>
      <c r="BZ119" s="1863"/>
      <c r="CA119" s="1863"/>
      <c r="CB119" s="1863"/>
      <c r="CC119" s="1863"/>
      <c r="CD119" s="1863"/>
      <c r="CE119" s="1863"/>
    </row>
    <row s="15824" customFormat="1" customHeight="1" ht="11.25">
      <c r="A120" s="2033"/>
      <c r="B120" s="1384"/>
      <c r="C120" s="634"/>
      <c r="D120" s="2654"/>
      <c r="E120" s="871" t="s">
        <v>24</v>
      </c>
      <c r="F120" s="1392" t="s">
        <v>24</v>
      </c>
      <c r="G120" s="1392" t="s">
        <v>1955</v>
      </c>
      <c r="H120" s="873" t="s">
        <v>24</v>
      </c>
      <c r="I120" s="873"/>
      <c r="J120" s="873"/>
      <c r="K120" s="873"/>
      <c r="L120" s="873"/>
      <c r="M120" s="873"/>
      <c r="N120" s="873"/>
      <c r="O120" s="873"/>
      <c r="P120" s="873"/>
      <c r="Q120" s="873"/>
      <c r="R120" s="874"/>
      <c r="S120" s="875"/>
      <c r="T120" s="940"/>
      <c r="U120" s="2507"/>
      <c r="V120" s="2507"/>
      <c r="W120" s="1384"/>
      <c r="X120" s="1384"/>
      <c r="Y120" s="1384"/>
      <c r="Z120" s="1384"/>
      <c r="AA120" s="1863"/>
      <c r="AB120" s="1384"/>
      <c r="AC120" s="2508"/>
      <c r="AD120" s="851"/>
      <c r="AE120" s="1384"/>
      <c r="AF120" s="1384"/>
      <c r="AG120" s="1863"/>
      <c r="AH120" s="1863"/>
      <c r="AI120" s="1863"/>
      <c r="AJ120" s="1863"/>
      <c r="AK120" s="1863"/>
      <c r="AL120" s="1863"/>
      <c r="AM120" s="1863"/>
      <c r="AN120" s="1863"/>
      <c r="AO120" s="1863"/>
      <c r="AP120" s="1863"/>
      <c r="AQ120" s="1863"/>
      <c r="AR120" s="1863"/>
      <c r="AS120" s="1863"/>
      <c r="AT120" s="1863"/>
      <c r="AU120" s="1863"/>
      <c r="AV120" s="1863"/>
      <c r="AW120" s="1863"/>
      <c r="AX120" s="1863"/>
      <c r="AY120" s="1863"/>
      <c r="AZ120" s="1863"/>
      <c r="BA120" s="1863"/>
      <c r="BB120" s="1863"/>
      <c r="BC120" s="1863"/>
      <c r="BD120" s="1863"/>
      <c r="BE120" s="1863"/>
      <c r="BF120" s="1863"/>
      <c r="BG120" s="1863"/>
      <c r="BH120" s="1863"/>
      <c r="BI120" s="1863"/>
      <c r="BJ120" s="1863"/>
      <c r="BK120" s="1863"/>
      <c r="BL120" s="1863"/>
      <c r="BM120" s="1863"/>
      <c r="BN120" s="1863"/>
      <c r="BO120" s="1863"/>
      <c r="BP120" s="1863"/>
      <c r="BQ120" s="1863"/>
      <c r="BR120" s="1863"/>
      <c r="BS120" s="1863"/>
      <c r="BT120" s="1863"/>
      <c r="BU120" s="1863"/>
      <c r="BV120" s="1384"/>
      <c r="BW120" s="1384"/>
      <c r="BX120" s="1384"/>
      <c r="BY120" s="1384"/>
      <c r="BZ120" s="1384"/>
      <c r="CA120" s="1384"/>
      <c r="CB120" s="1384"/>
      <c r="CC120" s="1384"/>
      <c r="CD120" s="1384"/>
      <c r="CE120" s="1384"/>
    </row>
    <row s="15824" customFormat="1" customHeight="1" ht="24.75">
      <c r="A121" s="2033"/>
      <c r="B121" s="1384"/>
      <c r="C121" s="634"/>
      <c r="D121" s="2654"/>
      <c r="E121" s="2506" t="s">
        <v>719</v>
      </c>
      <c r="F121" s="2506"/>
      <c r="G121" s="2506"/>
      <c r="H121" s="2506"/>
      <c r="I121" s="2506"/>
      <c r="J121" s="2506"/>
      <c r="K121" s="2506"/>
      <c r="L121" s="2506"/>
      <c r="M121" s="2506"/>
      <c r="N121" s="2506"/>
      <c r="O121" s="2506"/>
      <c r="P121" s="2506"/>
      <c r="Q121" s="780">
        <f>SUMIF(T122:T123,"i",Q122:Q123)</f>
        <v>0</v>
      </c>
      <c r="R121" s="1240"/>
      <c r="S121" s="2025" t="s">
        <v>720</v>
      </c>
      <c r="T121" s="939" t="s">
        <v>718</v>
      </c>
      <c r="U121" s="2507">
        <v>1</v>
      </c>
      <c r="V121" s="2507" t="s">
        <v>681</v>
      </c>
      <c r="W121" s="1384"/>
      <c r="X121" s="1384"/>
      <c r="Y121" s="1384"/>
      <c r="Z121" s="1384"/>
      <c r="AA121" s="1863"/>
      <c r="AB121" s="1384"/>
      <c r="AC121" s="2023"/>
      <c r="AD121" s="851"/>
      <c r="AE121" s="1384"/>
      <c r="AF121" s="1384"/>
      <c r="AG121" s="1863"/>
      <c r="AH121" s="1863"/>
      <c r="AI121" s="1863"/>
      <c r="AJ121" s="1863"/>
      <c r="AK121" s="1863"/>
      <c r="AL121" s="1863"/>
      <c r="AM121" s="1863"/>
      <c r="AN121" s="1863"/>
      <c r="AO121" s="1863"/>
      <c r="AP121" s="1863"/>
      <c r="AQ121" s="1863"/>
      <c r="AR121" s="1863"/>
      <c r="AS121" s="1863"/>
      <c r="AT121" s="1863"/>
      <c r="AU121" s="1863"/>
      <c r="AV121" s="1863"/>
      <c r="AW121" s="1863"/>
      <c r="AX121" s="1863"/>
      <c r="AY121" s="1863"/>
      <c r="AZ121" s="1863"/>
      <c r="BA121" s="1863"/>
      <c r="BB121" s="1863"/>
      <c r="BC121" s="1863"/>
      <c r="BD121" s="1863"/>
      <c r="BE121" s="1863"/>
      <c r="BF121" s="1863"/>
      <c r="BG121" s="1863"/>
      <c r="BH121" s="1863"/>
      <c r="BI121" s="1863"/>
      <c r="BJ121" s="1863"/>
      <c r="BK121" s="1863"/>
      <c r="BL121" s="1863"/>
      <c r="BM121" s="1863"/>
      <c r="BN121" s="1863"/>
      <c r="BO121" s="1863"/>
      <c r="BP121" s="1863"/>
      <c r="BQ121" s="1863"/>
      <c r="BR121" s="1863"/>
      <c r="BS121" s="1863"/>
      <c r="BT121" s="1863"/>
      <c r="BU121" s="1863"/>
      <c r="BV121" s="1384"/>
      <c r="BW121" s="1384"/>
      <c r="BX121" s="1384"/>
      <c r="BY121" s="1384"/>
      <c r="BZ121" s="1384"/>
      <c r="CA121" s="1384"/>
      <c r="CB121" s="1384"/>
      <c r="CC121" s="1384"/>
      <c r="CD121" s="1384"/>
      <c r="CE121" s="1384"/>
    </row>
    <row s="15824" customFormat="1" customHeight="1" ht="11.25" hidden="1">
      <c r="A122" s="2020"/>
      <c r="B122" s="1863"/>
      <c r="C122" s="1863"/>
      <c r="D122" s="2654"/>
      <c r="E122" s="857"/>
      <c r="F122" s="857">
        <v>0</v>
      </c>
      <c r="G122" s="857"/>
      <c r="H122" s="857"/>
      <c r="I122" s="857"/>
      <c r="J122" s="857"/>
      <c r="K122" s="857"/>
      <c r="L122" s="857"/>
      <c r="M122" s="857"/>
      <c r="N122" s="857"/>
      <c r="O122" s="857"/>
      <c r="P122" s="857"/>
      <c r="Q122" s="857"/>
      <c r="R122" s="857"/>
      <c r="S122" s="858"/>
      <c r="T122" s="940"/>
      <c r="U122" s="2507"/>
      <c r="V122" s="2507"/>
      <c r="W122" s="1863"/>
      <c r="X122" s="1863"/>
      <c r="Y122" s="1863"/>
      <c r="Z122" s="1863"/>
      <c r="AA122" s="1863"/>
      <c r="AB122" s="1384"/>
      <c r="AC122" s="2023"/>
      <c r="AD122" s="851"/>
      <c r="AE122" s="1384"/>
      <c r="AF122" s="1384"/>
      <c r="AG122" s="1863"/>
      <c r="AH122" s="1863"/>
      <c r="AI122" s="1863"/>
      <c r="AJ122" s="1863"/>
      <c r="AK122" s="1863"/>
      <c r="AL122" s="1863"/>
      <c r="AM122" s="1863"/>
      <c r="AN122" s="1863"/>
      <c r="AO122" s="1863"/>
      <c r="AP122" s="1863"/>
      <c r="AQ122" s="1863"/>
      <c r="AR122" s="1863"/>
      <c r="AS122" s="1863"/>
      <c r="AT122" s="1863"/>
      <c r="AU122" s="1863"/>
      <c r="AV122" s="1863"/>
      <c r="AW122" s="1863"/>
      <c r="AX122" s="1863"/>
      <c r="AY122" s="1863"/>
      <c r="AZ122" s="1863"/>
      <c r="BA122" s="1863"/>
      <c r="BB122" s="1863"/>
      <c r="BC122" s="1863"/>
      <c r="BD122" s="1863"/>
      <c r="BE122" s="1863"/>
      <c r="BF122" s="1863"/>
      <c r="BG122" s="1863"/>
      <c r="BH122" s="1863"/>
      <c r="BI122" s="1863"/>
      <c r="BJ122" s="1863"/>
      <c r="BK122" s="1863"/>
      <c r="BL122" s="1863"/>
      <c r="BM122" s="1863"/>
      <c r="BN122" s="1863"/>
      <c r="BO122" s="1863"/>
      <c r="BP122" s="1863"/>
      <c r="BQ122" s="1863"/>
      <c r="BR122" s="1863"/>
      <c r="BS122" s="1863"/>
      <c r="BT122" s="1863"/>
      <c r="BU122" s="1863"/>
      <c r="BV122" s="1863"/>
      <c r="BW122" s="1863"/>
      <c r="BX122" s="1863"/>
      <c r="BY122" s="1863"/>
      <c r="BZ122" s="1863"/>
      <c r="CA122" s="1863"/>
      <c r="CB122" s="1863"/>
      <c r="CC122" s="1863"/>
      <c r="CD122" s="1863"/>
      <c r="CE122" s="1863"/>
    </row>
    <row s="15824" customFormat="1" customHeight="1" ht="11.25">
      <c r="A123" s="2033"/>
      <c r="B123" s="1384"/>
      <c r="C123" s="634"/>
      <c r="D123" s="2655"/>
      <c r="E123" s="871" t="s">
        <v>24</v>
      </c>
      <c r="F123" s="1392" t="s">
        <v>24</v>
      </c>
      <c r="G123" s="1392" t="s">
        <v>1955</v>
      </c>
      <c r="H123" s="873" t="s">
        <v>24</v>
      </c>
      <c r="I123" s="873"/>
      <c r="J123" s="873"/>
      <c r="K123" s="873"/>
      <c r="L123" s="873"/>
      <c r="M123" s="873"/>
      <c r="N123" s="873"/>
      <c r="O123" s="873"/>
      <c r="P123" s="873"/>
      <c r="Q123" s="873"/>
      <c r="R123" s="874"/>
      <c r="S123" s="875"/>
      <c r="T123" s="940"/>
      <c r="U123" s="2507"/>
      <c r="V123" s="2507"/>
      <c r="W123" s="1384"/>
      <c r="X123" s="1384"/>
      <c r="Y123" s="1384"/>
      <c r="Z123" s="1384"/>
      <c r="AA123" s="1863"/>
      <c r="AB123" s="1384"/>
      <c r="AC123" s="2023"/>
      <c r="AD123" s="851"/>
      <c r="AE123" s="1384"/>
      <c r="AF123" s="1384"/>
      <c r="AG123" s="1863"/>
      <c r="AH123" s="1863"/>
      <c r="AI123" s="1863"/>
      <c r="AJ123" s="1863"/>
      <c r="AK123" s="1863"/>
      <c r="AL123" s="1863"/>
      <c r="AM123" s="1863"/>
      <c r="AN123" s="1863"/>
      <c r="AO123" s="1863"/>
      <c r="AP123" s="1863"/>
      <c r="AQ123" s="1863"/>
      <c r="AR123" s="1863"/>
      <c r="AS123" s="1863"/>
      <c r="AT123" s="1863"/>
      <c r="AU123" s="1863"/>
      <c r="AV123" s="1863"/>
      <c r="AW123" s="1863"/>
      <c r="AX123" s="1863"/>
      <c r="AY123" s="1863"/>
      <c r="AZ123" s="1863"/>
      <c r="BA123" s="1863"/>
      <c r="BB123" s="1863"/>
      <c r="BC123" s="1863"/>
      <c r="BD123" s="1863"/>
      <c r="BE123" s="1863"/>
      <c r="BF123" s="1863"/>
      <c r="BG123" s="1863"/>
      <c r="BH123" s="1863"/>
      <c r="BI123" s="1863"/>
      <c r="BJ123" s="1863"/>
      <c r="BK123" s="1863"/>
      <c r="BL123" s="1863"/>
      <c r="BM123" s="1863"/>
      <c r="BN123" s="1863"/>
      <c r="BO123" s="1863"/>
      <c r="BP123" s="1863"/>
      <c r="BQ123" s="1863"/>
      <c r="BR123" s="1863"/>
      <c r="BS123" s="1863"/>
      <c r="BT123" s="1863"/>
      <c r="BU123" s="1863"/>
      <c r="BV123" s="1384"/>
      <c r="BW123" s="1384"/>
      <c r="BX123" s="1384"/>
      <c r="BY123" s="1384"/>
      <c r="BZ123" s="1384"/>
      <c r="CA123" s="1384"/>
      <c r="CB123" s="1384"/>
      <c r="CC123" s="1384"/>
      <c r="CD123" s="1384"/>
      <c r="CE123" s="1384"/>
    </row>
    <row r="125" s="22637" customFormat="1" customHeight="1" ht="11.25">
      <c r="A125" s="2042" t="s">
        <v>1956</v>
      </c>
    </row>
    <row r="127" s="15824" customFormat="1" customHeight="1" ht="15">
      <c r="A127" s="845"/>
      <c r="B127" s="846"/>
      <c r="C127" s="846"/>
      <c r="D127" s="2653" t="s">
        <v>168</v>
      </c>
      <c r="E127" s="2509" t="s">
        <v>164</v>
      </c>
      <c r="F127" s="2510"/>
      <c r="G127" s="2511"/>
      <c r="H127" s="2504" t="str">
        <f>IF(A127="","",INDEX(DIFFERENTIATION_UNMERGE_VD,MATCH(A127,DIFFERENTIATION_ID_DIFF,0)))</f>
        <v/>
      </c>
      <c r="I127" s="2504"/>
      <c r="J127" s="2504"/>
      <c r="K127" s="2504"/>
      <c r="L127" s="2504"/>
      <c r="M127" s="2504"/>
      <c r="N127" s="2504"/>
      <c r="O127" s="2504"/>
      <c r="P127" s="2504"/>
      <c r="Q127" s="2504"/>
      <c r="R127" s="2504"/>
      <c r="S127" s="941"/>
      <c r="T127" s="938"/>
      <c r="U127" s="847"/>
      <c r="V127" s="847"/>
      <c r="W127" s="848"/>
      <c r="X127" s="848"/>
      <c r="Y127" s="848"/>
      <c r="Z127" s="848"/>
      <c r="AA127" s="849"/>
      <c r="AB127" s="850"/>
      <c r="AC127" s="2508"/>
      <c r="AD127" s="851"/>
      <c r="AE127" s="852" t="s">
        <v>24</v>
      </c>
      <c r="AF127" s="852"/>
      <c r="AG127" s="853" t="s">
        <v>715</v>
      </c>
      <c r="AH127" s="854">
        <v>3</v>
      </c>
      <c r="AI127" s="847"/>
      <c r="AJ127" s="847"/>
      <c r="AK127" s="847"/>
      <c r="AL127" s="847"/>
      <c r="AM127" s="847"/>
      <c r="AN127" s="847"/>
      <c r="AO127" s="847"/>
      <c r="AP127" s="847"/>
      <c r="AQ127" s="847"/>
      <c r="AR127" s="847"/>
      <c r="AS127" s="847"/>
      <c r="AT127" s="847"/>
      <c r="AU127" s="847"/>
      <c r="AV127" s="847"/>
      <c r="AW127" s="847"/>
      <c r="AX127" s="847"/>
      <c r="AY127" s="847"/>
      <c r="AZ127" s="847"/>
      <c r="BA127" s="847"/>
      <c r="BB127" s="847"/>
      <c r="BC127" s="847"/>
      <c r="BD127" s="847"/>
      <c r="BE127" s="847"/>
      <c r="BF127" s="847"/>
      <c r="BG127" s="847"/>
      <c r="BH127" s="847"/>
      <c r="BI127" s="847"/>
      <c r="BJ127" s="847"/>
      <c r="BK127" s="847"/>
      <c r="BL127" s="847"/>
      <c r="BM127" s="847"/>
      <c r="BN127" s="847"/>
      <c r="BO127" s="847"/>
      <c r="BP127" s="847"/>
      <c r="BQ127" s="847"/>
      <c r="BR127" s="847"/>
      <c r="BS127" s="847"/>
      <c r="BT127" s="847"/>
      <c r="BU127" s="847"/>
      <c r="BV127" s="848"/>
      <c r="BW127" s="848"/>
      <c r="BX127" s="848"/>
      <c r="BY127" s="848"/>
      <c r="BZ127" s="848"/>
      <c r="CA127" s="848"/>
      <c r="CB127" s="848"/>
      <c r="CC127" s="848"/>
      <c r="CD127" s="848"/>
      <c r="CE127" s="848"/>
    </row>
    <row s="15824" customFormat="1" customHeight="1" ht="15">
      <c r="A128" s="845"/>
      <c r="B128" s="846"/>
      <c r="C128" s="846"/>
      <c r="D128" s="2654"/>
      <c r="E128" s="2509" t="s">
        <v>670</v>
      </c>
      <c r="F128" s="2510"/>
      <c r="G128" s="2511"/>
      <c r="H128" s="2504" t="str">
        <f>IF(A127="","",INDEX(DIFFERENTIATION_UNMERGE_AREA,MATCH(A127,DIFFERENTIATION_ID_DIFF,0)))</f>
        <v/>
      </c>
      <c r="I128" s="2504"/>
      <c r="J128" s="2504"/>
      <c r="K128" s="2504"/>
      <c r="L128" s="2504"/>
      <c r="M128" s="2504"/>
      <c r="N128" s="2504"/>
      <c r="O128" s="2504"/>
      <c r="P128" s="2504"/>
      <c r="Q128" s="2504"/>
      <c r="R128" s="2504"/>
      <c r="S128" s="941"/>
      <c r="T128" s="938"/>
      <c r="U128" s="847"/>
      <c r="V128" s="847"/>
      <c r="W128" s="848"/>
      <c r="X128" s="848"/>
      <c r="Y128" s="848"/>
      <c r="Z128" s="848"/>
      <c r="AA128" s="849"/>
      <c r="AB128" s="850"/>
      <c r="AC128" s="2508"/>
      <c r="AD128" s="851"/>
      <c r="AE128" s="852"/>
      <c r="AF128" s="852"/>
      <c r="AG128" s="853"/>
      <c r="AH128" s="854"/>
      <c r="AI128" s="847"/>
      <c r="AJ128" s="847"/>
      <c r="AK128" s="847"/>
      <c r="AL128" s="847"/>
      <c r="AM128" s="847"/>
      <c r="AN128" s="847"/>
      <c r="AO128" s="847"/>
      <c r="AP128" s="847"/>
      <c r="AQ128" s="847"/>
      <c r="AR128" s="847"/>
      <c r="AS128" s="847"/>
      <c r="AT128" s="847"/>
      <c r="AU128" s="847"/>
      <c r="AV128" s="847"/>
      <c r="AW128" s="847"/>
      <c r="AX128" s="847"/>
      <c r="AY128" s="847"/>
      <c r="AZ128" s="847"/>
      <c r="BA128" s="847"/>
      <c r="BB128" s="847"/>
      <c r="BC128" s="847"/>
      <c r="BD128" s="847"/>
      <c r="BE128" s="847"/>
      <c r="BF128" s="847"/>
      <c r="BG128" s="847"/>
      <c r="BH128" s="847"/>
      <c r="BI128" s="847"/>
      <c r="BJ128" s="847"/>
      <c r="BK128" s="847"/>
      <c r="BL128" s="847"/>
      <c r="BM128" s="847"/>
      <c r="BN128" s="847"/>
      <c r="BO128" s="847"/>
      <c r="BP128" s="847"/>
      <c r="BQ128" s="847"/>
      <c r="BR128" s="847"/>
      <c r="BS128" s="847"/>
      <c r="BT128" s="847"/>
      <c r="BU128" s="847"/>
      <c r="BV128" s="848"/>
      <c r="BW128" s="848"/>
      <c r="BX128" s="848"/>
      <c r="BY128" s="848"/>
      <c r="BZ128" s="848"/>
      <c r="CA128" s="848"/>
      <c r="CB128" s="848"/>
      <c r="CC128" s="848"/>
      <c r="CD128" s="848"/>
      <c r="CE128" s="848"/>
    </row>
    <row s="15824" customFormat="1" customHeight="1" ht="15">
      <c r="A129" s="845"/>
      <c r="B129" s="846"/>
      <c r="C129" s="846"/>
      <c r="D129" s="2654"/>
      <c r="E129" s="2509" t="s">
        <v>671</v>
      </c>
      <c r="F129" s="2510"/>
      <c r="G129" s="2511"/>
      <c r="H129" s="2504" t="str">
        <f>IF(A127="","",INDEX(DIFFERENTIATION_UNMERGE_SYSTEM,MATCH(A127,DIFFERENTIATION_ID_DIFF,0)))</f>
        <v/>
      </c>
      <c r="I129" s="2504"/>
      <c r="J129" s="2504"/>
      <c r="K129" s="2504"/>
      <c r="L129" s="2504"/>
      <c r="M129" s="2504"/>
      <c r="N129" s="2504"/>
      <c r="O129" s="2504"/>
      <c r="P129" s="2504"/>
      <c r="Q129" s="2504"/>
      <c r="R129" s="2504"/>
      <c r="S129" s="941"/>
      <c r="T129" s="938"/>
      <c r="U129" s="847"/>
      <c r="V129" s="847"/>
      <c r="W129" s="848"/>
      <c r="X129" s="848"/>
      <c r="Y129" s="848"/>
      <c r="Z129" s="848"/>
      <c r="AA129" s="849"/>
      <c r="AB129" s="850"/>
      <c r="AC129" s="2508"/>
      <c r="AD129" s="851"/>
      <c r="AE129" s="852"/>
      <c r="AF129" s="852"/>
      <c r="AG129" s="853"/>
      <c r="AH129" s="854"/>
      <c r="AI129" s="847"/>
      <c r="AJ129" s="847"/>
      <c r="AK129" s="847"/>
      <c r="AL129" s="847"/>
      <c r="AM129" s="847"/>
      <c r="AN129" s="847"/>
      <c r="AO129" s="847"/>
      <c r="AP129" s="847"/>
      <c r="AQ129" s="847"/>
      <c r="AR129" s="847"/>
      <c r="AS129" s="847"/>
      <c r="AT129" s="847"/>
      <c r="AU129" s="847"/>
      <c r="AV129" s="847"/>
      <c r="AW129" s="847"/>
      <c r="AX129" s="847"/>
      <c r="AY129" s="847"/>
      <c r="AZ129" s="847"/>
      <c r="BA129" s="847"/>
      <c r="BB129" s="847"/>
      <c r="BC129" s="847"/>
      <c r="BD129" s="847"/>
      <c r="BE129" s="847"/>
      <c r="BF129" s="847"/>
      <c r="BG129" s="847"/>
      <c r="BH129" s="847"/>
      <c r="BI129" s="847"/>
      <c r="BJ129" s="847"/>
      <c r="BK129" s="847"/>
      <c r="BL129" s="847"/>
      <c r="BM129" s="847"/>
      <c r="BN129" s="847"/>
      <c r="BO129" s="847"/>
      <c r="BP129" s="847"/>
      <c r="BQ129" s="847"/>
      <c r="BR129" s="847"/>
      <c r="BS129" s="847"/>
      <c r="BT129" s="847"/>
      <c r="BU129" s="847"/>
      <c r="BV129" s="848"/>
      <c r="BW129" s="848"/>
      <c r="BX129" s="848"/>
      <c r="BY129" s="848"/>
      <c r="BZ129" s="848"/>
      <c r="CA129" s="848"/>
      <c r="CB129" s="848"/>
      <c r="CC129" s="848"/>
      <c r="CD129" s="848"/>
      <c r="CE129" s="848"/>
    </row>
    <row s="15824" customFormat="1" customHeight="1" ht="24.75">
      <c r="A130" s="2033"/>
      <c r="B130" s="1384"/>
      <c r="C130" s="634"/>
      <c r="D130" s="2654"/>
      <c r="E130" s="2506" t="s">
        <v>716</v>
      </c>
      <c r="F130" s="2506"/>
      <c r="G130" s="2506"/>
      <c r="H130" s="2506"/>
      <c r="I130" s="2506"/>
      <c r="J130" s="2506"/>
      <c r="K130" s="2506"/>
      <c r="L130" s="2506"/>
      <c r="M130" s="2506"/>
      <c r="N130" s="2506"/>
      <c r="O130" s="2506"/>
      <c r="P130" s="2506"/>
      <c r="Q130" s="780">
        <f>SUMIF(T131:T132,"i",Q131:Q132)</f>
        <v>0</v>
      </c>
      <c r="R130" s="1240"/>
      <c r="S130" s="2025" t="s">
        <v>717</v>
      </c>
      <c r="T130" s="939" t="s">
        <v>718</v>
      </c>
      <c r="U130" s="2507">
        <v>1</v>
      </c>
      <c r="V130" s="2507" t="s">
        <v>681</v>
      </c>
      <c r="W130" s="1384"/>
      <c r="X130" s="1384"/>
      <c r="Y130" s="1384"/>
      <c r="Z130" s="1384"/>
      <c r="AA130" s="1863"/>
      <c r="AB130" s="1384"/>
      <c r="AC130" s="2508"/>
      <c r="AD130" s="851"/>
      <c r="AE130" s="1384"/>
      <c r="AF130" s="1384"/>
      <c r="AG130" s="1863"/>
      <c r="AH130" s="1863"/>
      <c r="AI130" s="1863"/>
      <c r="AJ130" s="1863"/>
      <c r="AK130" s="1863"/>
      <c r="AL130" s="1863"/>
      <c r="AM130" s="1863"/>
      <c r="AN130" s="1863"/>
      <c r="AO130" s="1863"/>
      <c r="AP130" s="1863"/>
      <c r="AQ130" s="1863"/>
      <c r="AR130" s="1863"/>
      <c r="AS130" s="1863"/>
      <c r="AT130" s="1863"/>
      <c r="AU130" s="1863"/>
      <c r="AV130" s="1863"/>
      <c r="AW130" s="1863"/>
      <c r="AX130" s="1863"/>
      <c r="AY130" s="1863"/>
      <c r="AZ130" s="1863"/>
      <c r="BA130" s="1863"/>
      <c r="BB130" s="1863"/>
      <c r="BC130" s="1863"/>
      <c r="BD130" s="1863"/>
      <c r="BE130" s="1863"/>
      <c r="BF130" s="1863"/>
      <c r="BG130" s="1863"/>
      <c r="BH130" s="1863"/>
      <c r="BI130" s="1863"/>
      <c r="BJ130" s="1863"/>
      <c r="BK130" s="1863"/>
      <c r="BL130" s="1863"/>
      <c r="BM130" s="1863"/>
      <c r="BN130" s="1863"/>
      <c r="BO130" s="1863"/>
      <c r="BP130" s="1863"/>
      <c r="BQ130" s="1863"/>
      <c r="BR130" s="1863"/>
      <c r="BS130" s="1863"/>
      <c r="BT130" s="1863"/>
      <c r="BU130" s="1863"/>
      <c r="BV130" s="1384"/>
      <c r="BW130" s="1384"/>
      <c r="BX130" s="1384"/>
      <c r="BY130" s="1384"/>
      <c r="BZ130" s="1384"/>
      <c r="CA130" s="1384"/>
      <c r="CB130" s="1384"/>
      <c r="CC130" s="1384"/>
      <c r="CD130" s="1384"/>
      <c r="CE130" s="1384"/>
    </row>
    <row s="15824" customFormat="1" customHeight="1" ht="11.25" hidden="1">
      <c r="A131" s="2020"/>
      <c r="B131" s="1863"/>
      <c r="C131" s="1863"/>
      <c r="D131" s="2654"/>
      <c r="E131" s="857"/>
      <c r="F131" s="857">
        <v>0</v>
      </c>
      <c r="G131" s="857"/>
      <c r="H131" s="857"/>
      <c r="I131" s="857"/>
      <c r="J131" s="857"/>
      <c r="K131" s="857"/>
      <c r="L131" s="857"/>
      <c r="M131" s="857"/>
      <c r="N131" s="857"/>
      <c r="O131" s="857"/>
      <c r="P131" s="857"/>
      <c r="Q131" s="857"/>
      <c r="R131" s="857"/>
      <c r="S131" s="858"/>
      <c r="T131" s="940"/>
      <c r="U131" s="2507"/>
      <c r="V131" s="2507"/>
      <c r="W131" s="1863"/>
      <c r="X131" s="1863"/>
      <c r="Y131" s="1863"/>
      <c r="Z131" s="1863"/>
      <c r="AA131" s="1863"/>
      <c r="AB131" s="1384"/>
      <c r="AC131" s="2508"/>
      <c r="AD131" s="851"/>
      <c r="AE131" s="1384"/>
      <c r="AF131" s="1384"/>
      <c r="AG131" s="1863"/>
      <c r="AH131" s="1863"/>
      <c r="AI131" s="1863"/>
      <c r="AJ131" s="1863"/>
      <c r="AK131" s="1863"/>
      <c r="AL131" s="1863"/>
      <c r="AM131" s="1863"/>
      <c r="AN131" s="1863"/>
      <c r="AO131" s="1863"/>
      <c r="AP131" s="1863"/>
      <c r="AQ131" s="1863"/>
      <c r="AR131" s="1863"/>
      <c r="AS131" s="1863"/>
      <c r="AT131" s="1863"/>
      <c r="AU131" s="1863"/>
      <c r="AV131" s="1863"/>
      <c r="AW131" s="1863"/>
      <c r="AX131" s="1863"/>
      <c r="AY131" s="1863"/>
      <c r="AZ131" s="1863"/>
      <c r="BA131" s="1863"/>
      <c r="BB131" s="1863"/>
      <c r="BC131" s="1863"/>
      <c r="BD131" s="1863"/>
      <c r="BE131" s="1863"/>
      <c r="BF131" s="1863"/>
      <c r="BG131" s="1863"/>
      <c r="BH131" s="1863"/>
      <c r="BI131" s="1863"/>
      <c r="BJ131" s="1863"/>
      <c r="BK131" s="1863"/>
      <c r="BL131" s="1863"/>
      <c r="BM131" s="1863"/>
      <c r="BN131" s="1863"/>
      <c r="BO131" s="1863"/>
      <c r="BP131" s="1863"/>
      <c r="BQ131" s="1863"/>
      <c r="BR131" s="1863"/>
      <c r="BS131" s="1863"/>
      <c r="BT131" s="1863"/>
      <c r="BU131" s="1863"/>
      <c r="BV131" s="1863"/>
      <c r="BW131" s="1863"/>
      <c r="BX131" s="1863"/>
      <c r="BY131" s="1863"/>
      <c r="BZ131" s="1863"/>
      <c r="CA131" s="1863"/>
      <c r="CB131" s="1863"/>
      <c r="CC131" s="1863"/>
      <c r="CD131" s="1863"/>
      <c r="CE131" s="1863"/>
    </row>
    <row s="15824" customFormat="1" customHeight="1" ht="11.25">
      <c r="A132" s="2033"/>
      <c r="B132" s="1384"/>
      <c r="C132" s="634"/>
      <c r="D132" s="2654"/>
      <c r="E132" s="871" t="s">
        <v>24</v>
      </c>
      <c r="F132" s="1392" t="s">
        <v>24</v>
      </c>
      <c r="G132" s="1392" t="s">
        <v>1955</v>
      </c>
      <c r="H132" s="873" t="s">
        <v>24</v>
      </c>
      <c r="I132" s="873"/>
      <c r="J132" s="873"/>
      <c r="K132" s="873"/>
      <c r="L132" s="873"/>
      <c r="M132" s="873"/>
      <c r="N132" s="873"/>
      <c r="O132" s="873"/>
      <c r="P132" s="873"/>
      <c r="Q132" s="873"/>
      <c r="R132" s="874"/>
      <c r="S132" s="875"/>
      <c r="T132" s="940"/>
      <c r="U132" s="2507"/>
      <c r="V132" s="2507"/>
      <c r="W132" s="1384"/>
      <c r="X132" s="1384"/>
      <c r="Y132" s="1384"/>
      <c r="Z132" s="1384"/>
      <c r="AA132" s="1863"/>
      <c r="AB132" s="1384"/>
      <c r="AC132" s="2508"/>
      <c r="AD132" s="851"/>
      <c r="AE132" s="1384"/>
      <c r="AF132" s="1384"/>
      <c r="AG132" s="1863"/>
      <c r="AH132" s="1863"/>
      <c r="AI132" s="1863"/>
      <c r="AJ132" s="1863"/>
      <c r="AK132" s="1863"/>
      <c r="AL132" s="1863"/>
      <c r="AM132" s="1863"/>
      <c r="AN132" s="1863"/>
      <c r="AO132" s="1863"/>
      <c r="AP132" s="1863"/>
      <c r="AQ132" s="1863"/>
      <c r="AR132" s="1863"/>
      <c r="AS132" s="1863"/>
      <c r="AT132" s="1863"/>
      <c r="AU132" s="1863"/>
      <c r="AV132" s="1863"/>
      <c r="AW132" s="1863"/>
      <c r="AX132" s="1863"/>
      <c r="AY132" s="1863"/>
      <c r="AZ132" s="1863"/>
      <c r="BA132" s="1863"/>
      <c r="BB132" s="1863"/>
      <c r="BC132" s="1863"/>
      <c r="BD132" s="1863"/>
      <c r="BE132" s="1863"/>
      <c r="BF132" s="1863"/>
      <c r="BG132" s="1863"/>
      <c r="BH132" s="1863"/>
      <c r="BI132" s="1863"/>
      <c r="BJ132" s="1863"/>
      <c r="BK132" s="1863"/>
      <c r="BL132" s="1863"/>
      <c r="BM132" s="1863"/>
      <c r="BN132" s="1863"/>
      <c r="BO132" s="1863"/>
      <c r="BP132" s="1863"/>
      <c r="BQ132" s="1863"/>
      <c r="BR132" s="1863"/>
      <c r="BS132" s="1863"/>
      <c r="BT132" s="1863"/>
      <c r="BU132" s="1863"/>
      <c r="BV132" s="1384"/>
      <c r="BW132" s="1384"/>
      <c r="BX132" s="1384"/>
      <c r="BY132" s="1384"/>
      <c r="BZ132" s="1384"/>
      <c r="CA132" s="1384"/>
      <c r="CB132" s="1384"/>
      <c r="CC132" s="1384"/>
      <c r="CD132" s="1384"/>
      <c r="CE132" s="1384"/>
    </row>
    <row s="16179" customFormat="1" customHeight="1" ht="5.25" hidden="1">
      <c r="A133" s="2020"/>
      <c r="B133" s="1863"/>
      <c r="C133" s="1863"/>
      <c r="D133" s="2654"/>
      <c r="E133" s="1262"/>
      <c r="F133" s="1262"/>
      <c r="G133" s="1262"/>
      <c r="H133" s="1262"/>
      <c r="I133" s="1262"/>
      <c r="J133" s="1262"/>
      <c r="K133" s="1262"/>
      <c r="L133" s="1262"/>
      <c r="M133" s="1262"/>
      <c r="N133" s="1262"/>
      <c r="O133" s="1262"/>
      <c r="P133" s="1262"/>
      <c r="Q133" s="1263"/>
      <c r="R133" s="1264"/>
      <c r="S133" s="1265"/>
      <c r="T133" s="939" t="s">
        <v>718</v>
      </c>
      <c r="U133" s="2507">
        <v>1</v>
      </c>
      <c r="V133" s="2507" t="s">
        <v>681</v>
      </c>
      <c r="W133" s="1863"/>
      <c r="X133" s="1863"/>
      <c r="Y133" s="1863"/>
      <c r="Z133" s="1863"/>
      <c r="AA133" s="1863"/>
      <c r="AB133" s="1863"/>
      <c r="AC133" s="1260"/>
      <c r="AD133" s="1261"/>
      <c r="AE133" s="1863"/>
      <c r="AF133" s="1863"/>
      <c r="AG133" s="1863"/>
      <c r="AH133" s="1863"/>
      <c r="AI133" s="1863"/>
      <c r="AJ133" s="1863"/>
      <c r="AK133" s="1863"/>
      <c r="AL133" s="1863"/>
      <c r="AM133" s="1863"/>
      <c r="AN133" s="1863"/>
      <c r="AO133" s="1863"/>
      <c r="AP133" s="1863"/>
      <c r="AQ133" s="1863"/>
      <c r="AR133" s="1863"/>
      <c r="AS133" s="1863"/>
      <c r="AT133" s="1863"/>
      <c r="AU133" s="1863"/>
      <c r="AV133" s="1863"/>
      <c r="AW133" s="1863"/>
      <c r="AX133" s="1863"/>
      <c r="AY133" s="1863"/>
      <c r="AZ133" s="1863"/>
      <c r="BA133" s="1863"/>
      <c r="BB133" s="1863"/>
      <c r="BC133" s="1863"/>
      <c r="BD133" s="1863"/>
      <c r="BE133" s="1863"/>
      <c r="BF133" s="1863"/>
      <c r="BG133" s="1863"/>
      <c r="BH133" s="1863"/>
      <c r="BI133" s="1863"/>
      <c r="BJ133" s="1863"/>
      <c r="BK133" s="1863"/>
      <c r="BL133" s="1863"/>
      <c r="BM133" s="1863"/>
      <c r="BN133" s="1863"/>
      <c r="BO133" s="1863"/>
      <c r="BP133" s="1863"/>
      <c r="BQ133" s="1863"/>
      <c r="BR133" s="1863"/>
      <c r="BS133" s="1863"/>
      <c r="BT133" s="1863"/>
      <c r="BU133" s="1863"/>
      <c r="BV133" s="1863"/>
      <c r="BW133" s="1863"/>
      <c r="BX133" s="1863"/>
      <c r="BY133" s="1863"/>
      <c r="BZ133" s="1863"/>
      <c r="CA133" s="1863"/>
      <c r="CB133" s="1863"/>
      <c r="CC133" s="1863"/>
      <c r="CD133" s="1863"/>
      <c r="CE133" s="1863"/>
    </row>
    <row s="16179" customFormat="1" customHeight="1" ht="5.25" hidden="1">
      <c r="A134" s="2020"/>
      <c r="B134" s="1863"/>
      <c r="C134" s="1863"/>
      <c r="D134" s="2654"/>
      <c r="E134" s="857"/>
      <c r="F134" s="857"/>
      <c r="G134" s="857"/>
      <c r="H134" s="857"/>
      <c r="I134" s="857"/>
      <c r="J134" s="857"/>
      <c r="K134" s="857"/>
      <c r="L134" s="857"/>
      <c r="M134" s="857"/>
      <c r="N134" s="857"/>
      <c r="O134" s="857"/>
      <c r="P134" s="857"/>
      <c r="Q134" s="857"/>
      <c r="R134" s="857"/>
      <c r="S134" s="858"/>
      <c r="T134" s="940"/>
      <c r="U134" s="2507"/>
      <c r="V134" s="2507"/>
      <c r="W134" s="1863"/>
      <c r="X134" s="1863"/>
      <c r="Y134" s="1863"/>
      <c r="Z134" s="1863"/>
      <c r="AA134" s="1863"/>
      <c r="AB134" s="1863"/>
      <c r="AC134" s="1260"/>
      <c r="AD134" s="1261"/>
      <c r="AE134" s="1863"/>
      <c r="AF134" s="1863"/>
      <c r="AG134" s="1863"/>
      <c r="AH134" s="1863"/>
      <c r="AI134" s="1863"/>
      <c r="AJ134" s="1863"/>
      <c r="AK134" s="1863"/>
      <c r="AL134" s="1863"/>
      <c r="AM134" s="1863"/>
      <c r="AN134" s="1863"/>
      <c r="AO134" s="1863"/>
      <c r="AP134" s="1863"/>
      <c r="AQ134" s="1863"/>
      <c r="AR134" s="1863"/>
      <c r="AS134" s="1863"/>
      <c r="AT134" s="1863"/>
      <c r="AU134" s="1863"/>
      <c r="AV134" s="1863"/>
      <c r="AW134" s="1863"/>
      <c r="AX134" s="1863"/>
      <c r="AY134" s="1863"/>
      <c r="AZ134" s="1863"/>
      <c r="BA134" s="1863"/>
      <c r="BB134" s="1863"/>
      <c r="BC134" s="1863"/>
      <c r="BD134" s="1863"/>
      <c r="BE134" s="1863"/>
      <c r="BF134" s="1863"/>
      <c r="BG134" s="1863"/>
      <c r="BH134" s="1863"/>
      <c r="BI134" s="1863"/>
      <c r="BJ134" s="1863"/>
      <c r="BK134" s="1863"/>
      <c r="BL134" s="1863"/>
      <c r="BM134" s="1863"/>
      <c r="BN134" s="1863"/>
      <c r="BO134" s="1863"/>
      <c r="BP134" s="1863"/>
      <c r="BQ134" s="1863"/>
      <c r="BR134" s="1863"/>
      <c r="BS134" s="1863"/>
      <c r="BT134" s="1863"/>
      <c r="BU134" s="1863"/>
      <c r="BV134" s="1863"/>
      <c r="BW134" s="1863"/>
      <c r="BX134" s="1863"/>
      <c r="BY134" s="1863"/>
      <c r="BZ134" s="1863"/>
      <c r="CA134" s="1863"/>
      <c r="CB134" s="1863"/>
      <c r="CC134" s="1863"/>
      <c r="CD134" s="1863"/>
      <c r="CE134" s="1863"/>
    </row>
    <row s="16179" customFormat="1" customHeight="1" ht="5.25" hidden="1">
      <c r="A135" s="2020"/>
      <c r="B135" s="1863"/>
      <c r="C135" s="1863"/>
      <c r="D135" s="2655"/>
      <c r="E135" s="1266"/>
      <c r="F135" s="1267"/>
      <c r="G135" s="1267"/>
      <c r="H135" s="1268"/>
      <c r="I135" s="1268"/>
      <c r="J135" s="1268"/>
      <c r="K135" s="1268"/>
      <c r="L135" s="1268"/>
      <c r="M135" s="1268"/>
      <c r="N135" s="1268"/>
      <c r="O135" s="1268"/>
      <c r="P135" s="1268"/>
      <c r="Q135" s="1268"/>
      <c r="R135" s="1169"/>
      <c r="S135" s="1269"/>
      <c r="T135" s="940"/>
      <c r="U135" s="2507"/>
      <c r="V135" s="2507"/>
      <c r="W135" s="1863"/>
      <c r="X135" s="1863"/>
      <c r="Y135" s="1863"/>
      <c r="Z135" s="1863"/>
      <c r="AA135" s="1863"/>
      <c r="AB135" s="1863"/>
      <c r="AC135" s="1260"/>
      <c r="AD135" s="1261"/>
      <c r="AE135" s="1863"/>
      <c r="AF135" s="1863"/>
      <c r="AG135" s="1863"/>
      <c r="AH135" s="1863"/>
      <c r="AI135" s="1863"/>
      <c r="AJ135" s="1863"/>
      <c r="AK135" s="1863"/>
      <c r="AL135" s="1863"/>
      <c r="AM135" s="1863"/>
      <c r="AN135" s="1863"/>
      <c r="AO135" s="1863"/>
      <c r="AP135" s="1863"/>
      <c r="AQ135" s="1863"/>
      <c r="AR135" s="1863"/>
      <c r="AS135" s="1863"/>
      <c r="AT135" s="1863"/>
      <c r="AU135" s="1863"/>
      <c r="AV135" s="1863"/>
      <c r="AW135" s="1863"/>
      <c r="AX135" s="1863"/>
      <c r="AY135" s="1863"/>
      <c r="AZ135" s="1863"/>
      <c r="BA135" s="1863"/>
      <c r="BB135" s="1863"/>
      <c r="BC135" s="1863"/>
      <c r="BD135" s="1863"/>
      <c r="BE135" s="1863"/>
      <c r="BF135" s="1863"/>
      <c r="BG135" s="1863"/>
      <c r="BH135" s="1863"/>
      <c r="BI135" s="1863"/>
      <c r="BJ135" s="1863"/>
      <c r="BK135" s="1863"/>
      <c r="BL135" s="1863"/>
      <c r="BM135" s="1863"/>
      <c r="BN135" s="1863"/>
      <c r="BO135" s="1863"/>
      <c r="BP135" s="1863"/>
      <c r="BQ135" s="1863"/>
      <c r="BR135" s="1863"/>
      <c r="BS135" s="1863"/>
      <c r="BT135" s="1863"/>
      <c r="BU135" s="1863"/>
      <c r="BV135" s="1863"/>
      <c r="BW135" s="1863"/>
      <c r="BX135" s="1863"/>
      <c r="BY135" s="1863"/>
      <c r="BZ135" s="1863"/>
      <c r="CA135" s="1863"/>
      <c r="CB135" s="1863"/>
      <c r="CC135" s="1863"/>
      <c r="CD135" s="1863"/>
      <c r="CE135" s="1863"/>
    </row>
    <row customHeight="1" ht="17.25">
      <c r="D136" s="2063"/>
    </row>
    <row s="22637" customFormat="1" customHeight="1" ht="11.25">
      <c r="A137" s="2042" t="s">
        <v>1957</v>
      </c>
    </row>
    <row r="139" s="15824" customFormat="1" customHeight="1" ht="45">
      <c r="A139" s="2033"/>
      <c r="B139" s="1384"/>
      <c r="C139" s="634"/>
      <c r="D139" s="311"/>
      <c r="E139" s="2659"/>
      <c r="F139" s="2264" t="s">
        <v>168</v>
      </c>
      <c r="G139" s="2662" t="s">
        <v>24</v>
      </c>
      <c r="H139" s="511"/>
      <c r="I139" s="859" t="s">
        <v>168</v>
      </c>
      <c r="J139" s="2034" t="s">
        <v>1958</v>
      </c>
      <c r="K139" s="860" t="s">
        <v>652</v>
      </c>
      <c r="L139" s="2354" t="s">
        <v>652</v>
      </c>
      <c r="M139" s="2664"/>
      <c r="N139" s="860" t="s">
        <v>652</v>
      </c>
      <c r="O139" s="860" t="s">
        <v>652</v>
      </c>
      <c r="P139" s="860" t="s">
        <v>652</v>
      </c>
      <c r="Q139" s="861">
        <f>SUM(Q140:Q142)</f>
        <v>0</v>
      </c>
      <c r="R139" s="861">
        <f>IF(R136=0,0,(Q136/R136)*100)</f>
        <v>0</v>
      </c>
      <c r="S139" s="2323"/>
      <c r="T139" s="939" t="s">
        <v>718</v>
      </c>
      <c r="U139" s="311"/>
      <c r="V139" s="311"/>
      <c r="AC139" s="311"/>
    </row>
    <row s="15824" customFormat="1" customHeight="1" ht="11.25">
      <c r="A140" s="2033"/>
      <c r="B140" s="1384"/>
      <c r="C140" s="634"/>
      <c r="D140" s="311"/>
      <c r="E140" s="2660"/>
      <c r="F140" s="2264"/>
      <c r="G140" s="2662"/>
      <c r="H140" s="2253"/>
      <c r="I140" s="2648" t="s">
        <v>1045</v>
      </c>
      <c r="J140" s="2656"/>
      <c r="K140" s="2657"/>
      <c r="L140" s="862"/>
      <c r="M140" s="863" t="s">
        <v>168</v>
      </c>
      <c r="N140" s="2022"/>
      <c r="O140" s="864"/>
      <c r="P140" s="865"/>
      <c r="Q140" s="864"/>
      <c r="R140" s="866">
        <v>0</v>
      </c>
      <c r="S140" s="2323"/>
      <c r="T140" s="939"/>
      <c r="U140" s="311"/>
      <c r="V140" s="311"/>
      <c r="AC140" s="311"/>
    </row>
    <row s="15824" customFormat="1" customHeight="1" ht="11.25">
      <c r="A141" s="2033"/>
      <c r="B141" s="1384"/>
      <c r="C141" s="634"/>
      <c r="D141" s="311"/>
      <c r="E141" s="2660"/>
      <c r="F141" s="2264"/>
      <c r="G141" s="2662"/>
      <c r="H141" s="2253"/>
      <c r="I141" s="2648"/>
      <c r="J141" s="2656"/>
      <c r="K141" s="2658"/>
      <c r="L141" s="867"/>
      <c r="M141" s="868"/>
      <c r="N141" s="869" t="s">
        <v>1959</v>
      </c>
      <c r="O141" s="869"/>
      <c r="P141" s="869"/>
      <c r="Q141" s="869"/>
      <c r="R141" s="870"/>
      <c r="S141" s="2323"/>
      <c r="T141" s="939"/>
      <c r="U141" s="311"/>
      <c r="V141" s="311"/>
      <c r="AC141" s="311"/>
    </row>
    <row s="15824" customFormat="1" customHeight="1" ht="11.25">
      <c r="A142" s="2033"/>
      <c r="B142" s="1384"/>
      <c r="C142" s="634"/>
      <c r="D142" s="311"/>
      <c r="E142" s="2661"/>
      <c r="F142" s="2264"/>
      <c r="G142" s="2663"/>
      <c r="H142" s="867" t="s">
        <v>24</v>
      </c>
      <c r="I142" s="868"/>
      <c r="J142" s="869" t="s">
        <v>1960</v>
      </c>
      <c r="K142" s="869"/>
      <c r="L142" s="869"/>
      <c r="M142" s="869"/>
      <c r="N142" s="869"/>
      <c r="O142" s="869"/>
      <c r="P142" s="869"/>
      <c r="Q142" s="869"/>
      <c r="R142" s="870"/>
      <c r="S142" s="2323"/>
      <c r="T142" s="939"/>
      <c r="U142" s="311"/>
      <c r="V142" s="311"/>
      <c r="AC142" s="311"/>
    </row>
    <row r="147" s="15824" customFormat="1" customHeight="1" ht="11.25">
      <c r="A147" s="2033"/>
      <c r="B147" s="1384"/>
      <c r="C147" s="634"/>
      <c r="D147" s="311"/>
      <c r="E147" s="2057"/>
      <c r="F147" s="2057"/>
      <c r="G147" s="2057"/>
      <c r="H147" s="2253"/>
      <c r="I147" s="2648" t="s">
        <v>1045</v>
      </c>
      <c r="J147" s="2656"/>
      <c r="K147" s="2657"/>
      <c r="L147" s="862"/>
      <c r="M147" s="863" t="s">
        <v>168</v>
      </c>
      <c r="N147" s="2022"/>
      <c r="O147" s="864"/>
      <c r="P147" s="865"/>
      <c r="Q147" s="864"/>
      <c r="R147" s="866">
        <v>0</v>
      </c>
      <c r="S147" s="311"/>
      <c r="T147" s="939"/>
      <c r="U147" s="311"/>
      <c r="V147" s="311"/>
      <c r="AC147" s="311"/>
    </row>
    <row s="15824" customFormat="1" customHeight="1" ht="11.25">
      <c r="A148" s="2033"/>
      <c r="B148" s="1384"/>
      <c r="C148" s="634"/>
      <c r="D148" s="311"/>
      <c r="E148" s="2057"/>
      <c r="F148" s="2057"/>
      <c r="G148" s="2057"/>
      <c r="H148" s="2253"/>
      <c r="I148" s="2648"/>
      <c r="J148" s="2656"/>
      <c r="K148" s="2658"/>
      <c r="L148" s="867"/>
      <c r="M148" s="868"/>
      <c r="N148" s="869" t="s">
        <v>1959</v>
      </c>
      <c r="O148" s="869"/>
      <c r="P148" s="869"/>
      <c r="Q148" s="869"/>
      <c r="R148" s="870"/>
      <c r="S148" s="311"/>
      <c r="T148" s="939"/>
      <c r="U148" s="311"/>
      <c r="V148" s="311"/>
      <c r="AC148" s="311"/>
    </row>
    <row r="150" s="15824" customFormat="1" customHeight="1" ht="11.25">
      <c r="A150" s="2033"/>
      <c r="B150" s="1384"/>
      <c r="C150" s="634"/>
      <c r="D150" s="311"/>
      <c r="E150" s="2064"/>
      <c r="F150" s="2062"/>
      <c r="G150" s="2062"/>
      <c r="H150" s="2065"/>
      <c r="I150" s="2057"/>
      <c r="J150" s="2058"/>
      <c r="K150" s="2058"/>
      <c r="L150" s="862"/>
      <c r="M150" s="863" t="s">
        <v>168</v>
      </c>
      <c r="N150" s="2022"/>
      <c r="O150" s="864"/>
      <c r="P150" s="865"/>
      <c r="Q150" s="864"/>
      <c r="R150" s="866">
        <v>0</v>
      </c>
      <c r="S150" s="311"/>
      <c r="T150" s="939"/>
      <c r="U150" s="311"/>
      <c r="V150" s="311"/>
      <c r="AC150" s="311"/>
    </row>
    <row r="152" s="22637" customFormat="1" customHeight="1" ht="17.25">
      <c r="A152" s="2042" t="s">
        <v>1961</v>
      </c>
    </row>
    <row customHeight="1" ht="17.25">
      <c r="G153" s="2066"/>
      <c r="H153" s="2066"/>
      <c r="I153" s="2066"/>
      <c r="M153" s="2062"/>
    </row>
    <row s="22829" customFormat="1" customHeight="1" ht="17.25">
      <c r="A154" s="2067"/>
      <c r="C154" s="2069"/>
      <c r="D154" s="2645"/>
      <c r="E154" s="2279"/>
      <c r="F154" s="2281"/>
      <c r="G154" s="2651"/>
      <c r="H154" s="2645"/>
      <c r="I154" s="2645">
        <v>1</v>
      </c>
      <c r="J154" s="2671"/>
      <c r="K154" s="2326" t="s">
        <v>63</v>
      </c>
      <c r="L154" s="2264"/>
      <c r="M154" s="2264" t="s">
        <v>168</v>
      </c>
      <c r="N154" s="2669" t="str">
        <f>IF(Z154="","",INDEX(TERRITORY_MR_LIST,MATCH(Z154,TERRITORY_LIST_ID,0)))</f>
        <v/>
      </c>
      <c r="O154" s="2326" t="s">
        <v>63</v>
      </c>
      <c r="P154" s="2264"/>
      <c r="Q154" s="2264" t="s">
        <v>168</v>
      </c>
      <c r="R154" s="2650" t="s">
        <v>24</v>
      </c>
      <c r="S154" s="2263" t="s">
        <v>63</v>
      </c>
      <c r="T154" s="2038"/>
      <c r="U154" s="2038" t="s">
        <v>168</v>
      </c>
      <c r="V154" s="2070" t="s">
        <v>24</v>
      </c>
      <c r="W154" s="2028"/>
      <c r="Y154" s="1494"/>
      <c r="Z154" s="1494"/>
      <c r="AA154" s="1494"/>
      <c r="AB154" s="1494"/>
      <c r="AC154" s="1494"/>
      <c r="AD154" s="1494"/>
      <c r="AE154" s="1494"/>
      <c r="AF154" s="1494"/>
      <c r="AG154" s="1494"/>
      <c r="AH154" s="1494"/>
      <c r="AI154" s="1494"/>
      <c r="AJ154" s="1494"/>
      <c r="AK154" s="1494"/>
      <c r="AL154" s="2071"/>
      <c r="AM154" s="2071"/>
      <c r="AN154" s="1494"/>
      <c r="AO154" s="1494"/>
      <c r="AP154" s="1494"/>
      <c r="AQ154" s="1494"/>
    </row>
    <row s="22829" customFormat="1" customHeight="1" ht="17.25">
      <c r="A155" s="2067"/>
      <c r="C155" s="2072"/>
      <c r="D155" s="2645"/>
      <c r="E155" s="2279"/>
      <c r="F155" s="2282"/>
      <c r="G155" s="2651"/>
      <c r="H155" s="2645"/>
      <c r="I155" s="2645"/>
      <c r="J155" s="2671"/>
      <c r="K155" s="2327"/>
      <c r="L155" s="2264"/>
      <c r="M155" s="2264"/>
      <c r="N155" s="2669"/>
      <c r="O155" s="2327"/>
      <c r="P155" s="2264"/>
      <c r="Q155" s="2264"/>
      <c r="R155" s="2650"/>
      <c r="S155" s="2263"/>
      <c r="T155" s="539"/>
      <c r="U155" s="540"/>
      <c r="V155" s="540" t="s">
        <v>520</v>
      </c>
      <c r="W155" s="541"/>
      <c r="Y155" s="1486"/>
      <c r="Z155" s="1486"/>
      <c r="AA155" s="1486"/>
      <c r="AB155" s="1486"/>
      <c r="AC155" s="1486"/>
      <c r="AD155" s="1486"/>
      <c r="AE155" s="1486"/>
      <c r="AF155" s="1486"/>
      <c r="AG155" s="1486"/>
      <c r="AH155" s="1486"/>
      <c r="AI155" s="1486"/>
      <c r="AJ155" s="1486"/>
      <c r="AK155" s="1486"/>
    </row>
    <row s="22829" customFormat="1" customHeight="1" ht="17.25">
      <c r="A156" s="2067"/>
      <c r="C156" s="2072"/>
      <c r="D156" s="2646"/>
      <c r="E156" s="2668"/>
      <c r="F156" s="2282"/>
      <c r="G156" s="2652"/>
      <c r="H156" s="2646"/>
      <c r="I156" s="2646"/>
      <c r="J156" s="2672"/>
      <c r="K156" s="2327"/>
      <c r="L156" s="2646"/>
      <c r="M156" s="2646"/>
      <c r="N156" s="2670"/>
      <c r="O156" s="2268"/>
      <c r="P156" s="539"/>
      <c r="Q156" s="540"/>
      <c r="R156" s="540" t="s">
        <v>305</v>
      </c>
      <c r="S156" s="2073"/>
      <c r="T156" s="2073"/>
      <c r="U156" s="2073"/>
      <c r="V156" s="2073"/>
      <c r="W156" s="541"/>
      <c r="Y156" s="1486"/>
      <c r="Z156" s="1486"/>
      <c r="AA156" s="1486"/>
      <c r="AB156" s="1486"/>
      <c r="AC156" s="1486"/>
      <c r="AD156" s="1486"/>
      <c r="AE156" s="1486"/>
      <c r="AF156" s="1486"/>
      <c r="AG156" s="1486"/>
      <c r="AH156" s="1486"/>
      <c r="AI156" s="1486"/>
      <c r="AJ156" s="1486"/>
      <c r="AK156" s="1486"/>
    </row>
    <row s="22829" customFormat="1" customHeight="1" ht="17.25">
      <c r="A157" s="2067"/>
      <c r="C157" s="2072"/>
      <c r="D157" s="2646"/>
      <c r="E157" s="2668"/>
      <c r="F157" s="2282"/>
      <c r="G157" s="2652"/>
      <c r="H157" s="2646"/>
      <c r="I157" s="2646"/>
      <c r="J157" s="2672"/>
      <c r="K157" s="2268"/>
      <c r="L157" s="539"/>
      <c r="M157" s="540"/>
      <c r="N157" s="540" t="s">
        <v>358</v>
      </c>
      <c r="O157" s="540"/>
      <c r="P157" s="540"/>
      <c r="Q157" s="540"/>
      <c r="R157" s="540"/>
      <c r="S157" s="2073"/>
      <c r="T157" s="2073"/>
      <c r="U157" s="2073"/>
      <c r="V157" s="2073"/>
      <c r="W157" s="541"/>
      <c r="Y157" s="1486"/>
      <c r="Z157" s="1486"/>
      <c r="AA157" s="1486"/>
      <c r="AB157" s="1486"/>
      <c r="AC157" s="1486"/>
      <c r="AD157" s="1486"/>
      <c r="AE157" s="1486"/>
      <c r="AF157" s="1486"/>
      <c r="AG157" s="1486"/>
      <c r="AH157" s="1486"/>
      <c r="AI157" s="1486"/>
      <c r="AJ157" s="1486"/>
      <c r="AK157" s="1486"/>
    </row>
    <row s="22829" customFormat="1" customHeight="1" ht="17.25">
      <c r="A158" s="2067"/>
      <c r="C158" s="2072"/>
      <c r="D158" s="2646"/>
      <c r="E158" s="2668"/>
      <c r="F158" s="2283"/>
      <c r="G158" s="2652"/>
      <c r="H158" s="539"/>
      <c r="I158" s="540"/>
      <c r="J158" s="540" t="s">
        <v>359</v>
      </c>
      <c r="K158" s="540"/>
      <c r="L158" s="540"/>
      <c r="M158" s="540"/>
      <c r="N158" s="540"/>
      <c r="O158" s="540"/>
      <c r="P158" s="540"/>
      <c r="Q158" s="540"/>
      <c r="R158" s="540"/>
      <c r="S158" s="2073"/>
      <c r="T158" s="2073"/>
      <c r="U158" s="2073"/>
      <c r="V158" s="2073"/>
      <c r="W158" s="541"/>
      <c r="Y158" s="1486"/>
      <c r="Z158" s="1486"/>
      <c r="AA158" s="1486"/>
      <c r="AB158" s="1486"/>
      <c r="AC158" s="1486"/>
      <c r="AD158" s="1486"/>
      <c r="AE158" s="1486"/>
      <c r="AF158" s="1486"/>
      <c r="AG158" s="1486"/>
      <c r="AH158" s="1486"/>
      <c r="AI158" s="1486"/>
      <c r="AJ158" s="1486"/>
      <c r="AK158" s="1486"/>
    </row>
    <row customHeight="1" ht="17.25">
      <c r="G159" s="2066"/>
      <c r="H159" s="2066"/>
      <c r="I159" s="2066"/>
      <c r="M159" s="2062"/>
    </row>
    <row s="22829" customFormat="1" customHeight="1" ht="17.25">
      <c r="A160" s="2067"/>
      <c r="C160" s="2069"/>
      <c r="D160" s="2057"/>
      <c r="E160" s="2074"/>
      <c r="F160" s="2011"/>
      <c r="G160" s="2075"/>
      <c r="H160" s="2645"/>
      <c r="I160" s="2645">
        <v>1</v>
      </c>
      <c r="J160" s="2671"/>
      <c r="K160" s="2326" t="s">
        <v>63</v>
      </c>
      <c r="L160" s="2264"/>
      <c r="M160" s="2264" t="s">
        <v>168</v>
      </c>
      <c r="N160" s="2669" t="str">
        <f>IF(Z160="","",INDEX(TERRITORY_MR_LIST,MATCH(Z160,TERRITORY_LIST_ID,0)))</f>
        <v/>
      </c>
      <c r="O160" s="2326" t="s">
        <v>63</v>
      </c>
      <c r="P160" s="2264"/>
      <c r="Q160" s="2264" t="s">
        <v>168</v>
      </c>
      <c r="R160" s="2650" t="s">
        <v>24</v>
      </c>
      <c r="S160" s="2263" t="s">
        <v>63</v>
      </c>
      <c r="T160" s="2038"/>
      <c r="U160" s="2038" t="s">
        <v>168</v>
      </c>
      <c r="V160" s="2070" t="s">
        <v>24</v>
      </c>
      <c r="W160" s="2028"/>
      <c r="Y160" s="1494"/>
      <c r="Z160" s="1494"/>
      <c r="AA160" s="1494"/>
      <c r="AB160" s="1494"/>
      <c r="AC160" s="1494"/>
      <c r="AD160" s="1494"/>
      <c r="AE160" s="1494"/>
      <c r="AF160" s="1494"/>
      <c r="AG160" s="1494"/>
      <c r="AH160" s="1494"/>
      <c r="AI160" s="1494"/>
      <c r="AJ160" s="1494"/>
      <c r="AK160" s="1494"/>
      <c r="AL160" s="2071"/>
      <c r="AM160" s="2071"/>
      <c r="AN160" s="1494"/>
      <c r="AO160" s="1494"/>
      <c r="AP160" s="1494"/>
      <c r="AQ160" s="1494"/>
    </row>
    <row s="22829" customFormat="1" customHeight="1" ht="17.25">
      <c r="A161" s="2067"/>
      <c r="C161" s="2072"/>
      <c r="D161" s="2057"/>
      <c r="E161" s="2074"/>
      <c r="F161" s="2011"/>
      <c r="G161" s="2075"/>
      <c r="H161" s="2645"/>
      <c r="I161" s="2645"/>
      <c r="J161" s="2671"/>
      <c r="K161" s="2327"/>
      <c r="L161" s="2264"/>
      <c r="M161" s="2264"/>
      <c r="N161" s="2669"/>
      <c r="O161" s="2327"/>
      <c r="P161" s="2264"/>
      <c r="Q161" s="2264"/>
      <c r="R161" s="2650"/>
      <c r="S161" s="2263"/>
      <c r="T161" s="539"/>
      <c r="U161" s="540"/>
      <c r="V161" s="540" t="s">
        <v>520</v>
      </c>
      <c r="W161" s="541"/>
      <c r="Y161" s="1486"/>
      <c r="Z161" s="1486"/>
      <c r="AA161" s="1486"/>
      <c r="AB161" s="1486"/>
      <c r="AC161" s="1486"/>
      <c r="AD161" s="1486"/>
      <c r="AE161" s="1486"/>
      <c r="AF161" s="1486"/>
      <c r="AG161" s="1486"/>
      <c r="AH161" s="1486"/>
      <c r="AI161" s="1486"/>
      <c r="AJ161" s="1486"/>
      <c r="AK161" s="1486"/>
    </row>
    <row s="22829" customFormat="1" customHeight="1" ht="17.25">
      <c r="A162" s="2067"/>
      <c r="C162" s="2072"/>
      <c r="D162" s="2057"/>
      <c r="E162" s="2074"/>
      <c r="F162" s="2011"/>
      <c r="G162" s="2075"/>
      <c r="H162" s="2646"/>
      <c r="I162" s="2646"/>
      <c r="J162" s="2672"/>
      <c r="K162" s="2327"/>
      <c r="L162" s="2646"/>
      <c r="M162" s="2646"/>
      <c r="N162" s="2670"/>
      <c r="O162" s="2268"/>
      <c r="P162" s="539"/>
      <c r="Q162" s="540"/>
      <c r="R162" s="540" t="s">
        <v>305</v>
      </c>
      <c r="S162" s="2073"/>
      <c r="T162" s="2073"/>
      <c r="U162" s="2073"/>
      <c r="V162" s="2073"/>
      <c r="W162" s="541"/>
      <c r="Y162" s="1486"/>
      <c r="Z162" s="1486"/>
      <c r="AA162" s="1486"/>
      <c r="AB162" s="1486"/>
      <c r="AC162" s="1486"/>
      <c r="AD162" s="1486"/>
      <c r="AE162" s="1486"/>
      <c r="AF162" s="1486"/>
      <c r="AG162" s="1486"/>
      <c r="AH162" s="1486"/>
      <c r="AI162" s="1486"/>
      <c r="AJ162" s="1486"/>
      <c r="AK162" s="1486"/>
    </row>
    <row s="22829" customFormat="1" customHeight="1" ht="17.25">
      <c r="A163" s="2067"/>
      <c r="C163" s="2072"/>
      <c r="D163" s="2057"/>
      <c r="E163" s="2074"/>
      <c r="F163" s="2011"/>
      <c r="G163" s="2075"/>
      <c r="H163" s="2646"/>
      <c r="I163" s="2646"/>
      <c r="J163" s="2672"/>
      <c r="K163" s="2268"/>
      <c r="L163" s="539"/>
      <c r="M163" s="540"/>
      <c r="N163" s="540" t="s">
        <v>358</v>
      </c>
      <c r="O163" s="540"/>
      <c r="P163" s="540"/>
      <c r="Q163" s="540"/>
      <c r="R163" s="540"/>
      <c r="S163" s="2073"/>
      <c r="T163" s="2073"/>
      <c r="U163" s="2073"/>
      <c r="V163" s="2073"/>
      <c r="W163" s="541"/>
      <c r="Y163" s="1486"/>
      <c r="Z163" s="1486"/>
      <c r="AA163" s="1486"/>
      <c r="AB163" s="1486"/>
      <c r="AC163" s="1486"/>
      <c r="AD163" s="1486"/>
      <c r="AE163" s="1486"/>
      <c r="AF163" s="1486"/>
      <c r="AG163" s="1486"/>
      <c r="AH163" s="1486"/>
      <c r="AI163" s="1486"/>
      <c r="AJ163" s="1486"/>
      <c r="AK163" s="1486"/>
    </row>
    <row customHeight="1" ht="17.25">
      <c r="G164" s="2066"/>
      <c r="H164" s="2066"/>
      <c r="I164" s="2066"/>
      <c r="M164" s="2062"/>
    </row>
    <row s="22829" customFormat="1" customHeight="1" ht="17.25">
      <c r="A165" s="2067"/>
      <c r="C165" s="2069"/>
      <c r="D165" s="2057"/>
      <c r="E165" s="2074"/>
      <c r="F165" s="2011"/>
      <c r="G165" s="2075"/>
      <c r="H165" s="2057"/>
      <c r="I165" s="2057"/>
      <c r="J165" s="2076"/>
      <c r="K165" s="1987"/>
      <c r="L165" s="2264"/>
      <c r="M165" s="2264" t="s">
        <v>168</v>
      </c>
      <c r="N165" s="2669" t="str">
        <f>IF(Z165="","",INDEX(TERRITORY_MR_LIST,MATCH(Z165,TERRITORY_LIST_ID,0)))</f>
        <v/>
      </c>
      <c r="O165" s="2326" t="s">
        <v>63</v>
      </c>
      <c r="P165" s="2264"/>
      <c r="Q165" s="2264" t="s">
        <v>168</v>
      </c>
      <c r="R165" s="2650" t="s">
        <v>24</v>
      </c>
      <c r="S165" s="2263" t="s">
        <v>63</v>
      </c>
      <c r="T165" s="2038"/>
      <c r="U165" s="2038" t="s">
        <v>168</v>
      </c>
      <c r="V165" s="2070" t="s">
        <v>24</v>
      </c>
      <c r="W165" s="2028"/>
      <c r="Y165" s="1494"/>
      <c r="Z165" s="1494"/>
      <c r="AA165" s="1494"/>
      <c r="AB165" s="1494"/>
      <c r="AC165" s="1494"/>
      <c r="AD165" s="1494"/>
      <c r="AE165" s="1494"/>
      <c r="AF165" s="1494"/>
      <c r="AG165" s="1494"/>
      <c r="AH165" s="1494"/>
      <c r="AI165" s="1494"/>
      <c r="AJ165" s="1494"/>
      <c r="AK165" s="1494"/>
      <c r="AL165" s="2071"/>
      <c r="AM165" s="2071"/>
      <c r="AN165" s="1494"/>
      <c r="AO165" s="1494"/>
      <c r="AP165" s="1494"/>
      <c r="AQ165" s="1494"/>
    </row>
    <row s="22829" customFormat="1" customHeight="1" ht="17.25">
      <c r="A166" s="2067"/>
      <c r="C166" s="2072"/>
      <c r="D166" s="2057"/>
      <c r="E166" s="2074"/>
      <c r="F166" s="2011"/>
      <c r="G166" s="2075"/>
      <c r="H166" s="2057"/>
      <c r="I166" s="2057"/>
      <c r="J166" s="2076"/>
      <c r="K166" s="1987"/>
      <c r="L166" s="2264"/>
      <c r="M166" s="2264"/>
      <c r="N166" s="2669"/>
      <c r="O166" s="2327"/>
      <c r="P166" s="2264"/>
      <c r="Q166" s="2264"/>
      <c r="R166" s="2650"/>
      <c r="S166" s="2263"/>
      <c r="T166" s="539"/>
      <c r="U166" s="540"/>
      <c r="V166" s="540" t="s">
        <v>520</v>
      </c>
      <c r="W166" s="541"/>
      <c r="Y166" s="1486"/>
      <c r="Z166" s="1486"/>
      <c r="AA166" s="1486"/>
      <c r="AB166" s="1486"/>
      <c r="AC166" s="1486"/>
      <c r="AD166" s="1486"/>
      <c r="AE166" s="1486"/>
      <c r="AF166" s="1486"/>
      <c r="AG166" s="1486"/>
      <c r="AH166" s="1486"/>
      <c r="AI166" s="1486"/>
      <c r="AJ166" s="1486"/>
      <c r="AK166" s="1486"/>
    </row>
    <row s="22829" customFormat="1" customHeight="1" ht="17.25">
      <c r="A167" s="2067"/>
      <c r="C167" s="2072"/>
      <c r="D167" s="2057"/>
      <c r="E167" s="2074"/>
      <c r="F167" s="2011"/>
      <c r="G167" s="2075"/>
      <c r="H167" s="2057"/>
      <c r="I167" s="2057"/>
      <c r="J167" s="2076"/>
      <c r="K167" s="1987"/>
      <c r="L167" s="2646"/>
      <c r="M167" s="2646"/>
      <c r="N167" s="2670"/>
      <c r="O167" s="2268"/>
      <c r="P167" s="539"/>
      <c r="Q167" s="540"/>
      <c r="R167" s="540" t="s">
        <v>305</v>
      </c>
      <c r="S167" s="2073"/>
      <c r="T167" s="2073"/>
      <c r="U167" s="2073"/>
      <c r="V167" s="2073"/>
      <c r="W167" s="541"/>
      <c r="Y167" s="1486"/>
      <c r="Z167" s="1486"/>
      <c r="AA167" s="1486"/>
      <c r="AB167" s="1486"/>
      <c r="AC167" s="1486"/>
      <c r="AD167" s="1486"/>
      <c r="AE167" s="1486"/>
      <c r="AF167" s="1486"/>
      <c r="AG167" s="1486"/>
      <c r="AH167" s="1486"/>
      <c r="AI167" s="1486"/>
      <c r="AJ167" s="1486"/>
      <c r="AK167" s="1486"/>
    </row>
    <row customHeight="1" ht="17.25">
      <c r="G168" s="2066"/>
      <c r="H168" s="2066"/>
      <c r="I168" s="2066"/>
      <c r="M168" s="2062"/>
    </row>
    <row s="22829" customFormat="1" customHeight="1" ht="17.25">
      <c r="A169" s="2067"/>
      <c r="C169" s="2069"/>
      <c r="D169" s="2057"/>
      <c r="E169" s="2074"/>
      <c r="F169" s="2011"/>
      <c r="G169" s="2075"/>
      <c r="H169" s="2057"/>
      <c r="I169" s="2057"/>
      <c r="J169" s="2076"/>
      <c r="K169" s="1987"/>
      <c r="L169" s="1983"/>
      <c r="M169" s="1983"/>
      <c r="N169" s="2077"/>
      <c r="O169" s="2014"/>
      <c r="P169" s="2264"/>
      <c r="Q169" s="2264" t="s">
        <v>168</v>
      </c>
      <c r="R169" s="2650" t="s">
        <v>24</v>
      </c>
      <c r="S169" s="2263" t="s">
        <v>63</v>
      </c>
      <c r="T169" s="2038"/>
      <c r="U169" s="2038" t="s">
        <v>168</v>
      </c>
      <c r="V169" s="2070" t="s">
        <v>24</v>
      </c>
      <c r="W169" s="2028"/>
      <c r="Y169" s="1494"/>
      <c r="Z169" s="1494"/>
      <c r="AA169" s="1494"/>
      <c r="AB169" s="1494"/>
      <c r="AC169" s="1494"/>
      <c r="AD169" s="1494"/>
      <c r="AE169" s="1494"/>
      <c r="AF169" s="1494"/>
      <c r="AG169" s="1494"/>
      <c r="AH169" s="1494"/>
      <c r="AI169" s="1494"/>
      <c r="AJ169" s="1494"/>
      <c r="AK169" s="1494"/>
      <c r="AL169" s="2071"/>
      <c r="AM169" s="2071"/>
      <c r="AN169" s="1494"/>
      <c r="AO169" s="1494"/>
      <c r="AP169" s="1494"/>
      <c r="AQ169" s="1494"/>
    </row>
    <row s="22829" customFormat="1" customHeight="1" ht="17.25">
      <c r="A170" s="2067"/>
      <c r="C170" s="2072"/>
      <c r="D170" s="2057"/>
      <c r="E170" s="2074"/>
      <c r="F170" s="2011"/>
      <c r="G170" s="2075"/>
      <c r="H170" s="2057"/>
      <c r="I170" s="2057"/>
      <c r="J170" s="2076"/>
      <c r="K170" s="1987"/>
      <c r="L170" s="1983"/>
      <c r="M170" s="1983"/>
      <c r="N170" s="2077"/>
      <c r="O170" s="2014"/>
      <c r="P170" s="2264"/>
      <c r="Q170" s="2264"/>
      <c r="R170" s="2650"/>
      <c r="S170" s="2263"/>
      <c r="T170" s="539"/>
      <c r="U170" s="540"/>
      <c r="V170" s="540" t="s">
        <v>520</v>
      </c>
      <c r="W170" s="541"/>
      <c r="Y170" s="1486"/>
      <c r="Z170" s="1486"/>
      <c r="AA170" s="1486"/>
      <c r="AB170" s="1486"/>
      <c r="AC170" s="1486"/>
      <c r="AD170" s="1486"/>
      <c r="AE170" s="1486"/>
      <c r="AF170" s="1486"/>
      <c r="AG170" s="1486"/>
      <c r="AH170" s="1486"/>
      <c r="AI170" s="1486"/>
      <c r="AJ170" s="1486"/>
      <c r="AK170" s="1486"/>
    </row>
    <row customHeight="1" ht="17.25">
      <c r="G171" s="2066"/>
      <c r="H171" s="2066"/>
      <c r="I171" s="2066"/>
      <c r="M171" s="2062"/>
    </row>
    <row s="22829" customFormat="1" customHeight="1" ht="17.25">
      <c r="A172" s="2067"/>
      <c r="C172" s="2069"/>
      <c r="D172" s="2057"/>
      <c r="E172" s="2074"/>
      <c r="F172" s="2011"/>
      <c r="G172" s="2075"/>
      <c r="H172" s="1983"/>
      <c r="I172" s="1983"/>
      <c r="J172" s="1984"/>
      <c r="K172" s="2075"/>
      <c r="L172" s="1983"/>
      <c r="M172" s="1983"/>
      <c r="N172" s="2075"/>
      <c r="O172" s="2075"/>
      <c r="P172" s="1983"/>
      <c r="Q172" s="1983"/>
      <c r="R172" s="1985"/>
      <c r="S172" s="2075"/>
      <c r="T172" s="2038"/>
      <c r="U172" s="2038" t="s">
        <v>168</v>
      </c>
      <c r="V172" s="2070" t="s">
        <v>24</v>
      </c>
      <c r="W172" s="2028"/>
      <c r="Y172" s="1494"/>
      <c r="Z172" s="1494"/>
      <c r="AA172" s="1494"/>
      <c r="AB172" s="1494"/>
      <c r="AC172" s="1494"/>
      <c r="AD172" s="1494"/>
      <c r="AE172" s="1494"/>
      <c r="AF172" s="1494"/>
      <c r="AG172" s="1494"/>
      <c r="AH172" s="1494"/>
      <c r="AI172" s="1494"/>
      <c r="AJ172" s="1494"/>
      <c r="AK172" s="1494"/>
      <c r="AL172" s="2071"/>
      <c r="AM172" s="2071"/>
      <c r="AN172" s="1494"/>
      <c r="AO172" s="1494"/>
      <c r="AP172" s="1494"/>
      <c r="AQ172" s="1494"/>
    </row>
    <row r="174" s="22637" customFormat="1" customHeight="1" ht="17.25">
      <c r="A174" s="2042" t="s">
        <v>1962</v>
      </c>
    </row>
    <row customHeight="1" ht="17.25">
      <c r="G175" s="2066"/>
      <c r="H175" s="2066"/>
      <c r="I175" s="2066"/>
      <c r="M175" s="2062"/>
    </row>
    <row s="22829" customFormat="1" customHeight="1" ht="17.25">
      <c r="A176" s="2067"/>
      <c r="C176" s="2069"/>
      <c r="D176" s="2645"/>
      <c r="E176" s="2279"/>
      <c r="F176" s="2281"/>
      <c r="G176" s="2651"/>
      <c r="H176" s="2645"/>
      <c r="I176" s="2645">
        <v>1</v>
      </c>
      <c r="J176" s="2671"/>
      <c r="K176" s="2326" t="s">
        <v>63</v>
      </c>
      <c r="L176" s="2264"/>
      <c r="M176" s="2264" t="s">
        <v>168</v>
      </c>
      <c r="N176" s="2669" t="str">
        <f>IF(Z176="","",INDEX(TERRITORY_MR_LIST,MATCH(Z176,TERRITORY_LIST_ID,0)))</f>
        <v/>
      </c>
      <c r="O176" s="2326" t="s">
        <v>63</v>
      </c>
      <c r="P176" s="2264"/>
      <c r="Q176" s="2264" t="s">
        <v>168</v>
      </c>
      <c r="R176" s="2650" t="s">
        <v>24</v>
      </c>
      <c r="S176" s="2524" t="s">
        <v>53</v>
      </c>
      <c r="T176" s="2029"/>
      <c r="U176" s="2029" t="s">
        <v>168</v>
      </c>
      <c r="V176" s="1661"/>
      <c r="W176" s="2671"/>
      <c r="Y176" s="1494"/>
      <c r="Z176" s="1494"/>
      <c r="AA176" s="1494"/>
      <c r="AB176" s="1494"/>
      <c r="AC176" s="1494"/>
      <c r="AD176" s="1494"/>
      <c r="AE176" s="1494"/>
      <c r="AF176" s="1494"/>
      <c r="AG176" s="1494"/>
      <c r="AH176" s="1494"/>
      <c r="AI176" s="1494"/>
      <c r="AJ176" s="1494"/>
      <c r="AK176" s="1494"/>
      <c r="AL176" s="2071"/>
      <c r="AM176" s="2071"/>
      <c r="AN176" s="1494"/>
      <c r="AO176" s="1494"/>
      <c r="AP176" s="1494"/>
      <c r="AQ176" s="1494"/>
    </row>
    <row s="22829" customFormat="1" customHeight="1" ht="17.25">
      <c r="A177" s="2067"/>
      <c r="C177" s="2072"/>
      <c r="D177" s="2645"/>
      <c r="E177" s="2279"/>
      <c r="F177" s="2282"/>
      <c r="G177" s="2651"/>
      <c r="H177" s="2645"/>
      <c r="I177" s="2645"/>
      <c r="J177" s="2671"/>
      <c r="K177" s="2327"/>
      <c r="L177" s="2264"/>
      <c r="M177" s="2264"/>
      <c r="N177" s="2669"/>
      <c r="O177" s="2327"/>
      <c r="P177" s="2264"/>
      <c r="Q177" s="2264"/>
      <c r="R177" s="2650"/>
      <c r="S177" s="2524"/>
      <c r="T177" s="1662"/>
      <c r="U177" s="1663"/>
      <c r="V177" s="1663"/>
      <c r="W177" s="2671"/>
      <c r="Y177" s="1486"/>
      <c r="Z177" s="1486"/>
      <c r="AA177" s="1486"/>
      <c r="AB177" s="1486"/>
      <c r="AC177" s="1486"/>
      <c r="AD177" s="1486"/>
      <c r="AE177" s="1486"/>
      <c r="AF177" s="1486"/>
      <c r="AG177" s="1486"/>
      <c r="AH177" s="1486"/>
      <c r="AI177" s="1486"/>
      <c r="AJ177" s="1486"/>
      <c r="AK177" s="1486"/>
    </row>
    <row s="22829" customFormat="1" customHeight="1" ht="17.25">
      <c r="A178" s="2067"/>
      <c r="C178" s="2072"/>
      <c r="D178" s="2646"/>
      <c r="E178" s="2668"/>
      <c r="F178" s="2282"/>
      <c r="G178" s="2652"/>
      <c r="H178" s="2646"/>
      <c r="I178" s="2646"/>
      <c r="J178" s="2672"/>
      <c r="K178" s="2327"/>
      <c r="L178" s="2646"/>
      <c r="M178" s="2646"/>
      <c r="N178" s="2670"/>
      <c r="O178" s="2268"/>
      <c r="P178" s="539"/>
      <c r="Q178" s="540"/>
      <c r="R178" s="540" t="s">
        <v>305</v>
      </c>
      <c r="S178" s="2073"/>
      <c r="T178" s="2073"/>
      <c r="U178" s="2073"/>
      <c r="V178" s="2073"/>
      <c r="W178" s="1660"/>
      <c r="Y178" s="1486"/>
      <c r="Z178" s="1486"/>
      <c r="AA178" s="1486"/>
      <c r="AB178" s="1486"/>
      <c r="AC178" s="1486"/>
      <c r="AD178" s="1486"/>
      <c r="AE178" s="1486"/>
      <c r="AF178" s="1486"/>
      <c r="AG178" s="1486"/>
      <c r="AH178" s="1486"/>
      <c r="AI178" s="1486"/>
      <c r="AJ178" s="1486"/>
      <c r="AK178" s="1486"/>
    </row>
    <row s="22829" customFormat="1" customHeight="1" ht="17.25">
      <c r="A179" s="2067"/>
      <c r="C179" s="2072"/>
      <c r="D179" s="2646"/>
      <c r="E179" s="2668"/>
      <c r="F179" s="2282"/>
      <c r="G179" s="2652"/>
      <c r="H179" s="2646"/>
      <c r="I179" s="2646"/>
      <c r="J179" s="2672"/>
      <c r="K179" s="2268"/>
      <c r="L179" s="539"/>
      <c r="M179" s="540"/>
      <c r="N179" s="540" t="s">
        <v>358</v>
      </c>
      <c r="O179" s="540"/>
      <c r="P179" s="540"/>
      <c r="Q179" s="540"/>
      <c r="R179" s="540"/>
      <c r="S179" s="2073"/>
      <c r="T179" s="2073"/>
      <c r="U179" s="2073"/>
      <c r="V179" s="2073"/>
      <c r="W179" s="541"/>
      <c r="Y179" s="1486"/>
      <c r="Z179" s="1486"/>
      <c r="AA179" s="1486"/>
      <c r="AB179" s="1486"/>
      <c r="AC179" s="1486"/>
      <c r="AD179" s="1486"/>
      <c r="AE179" s="1486"/>
      <c r="AF179" s="1486"/>
      <c r="AG179" s="1486"/>
      <c r="AH179" s="1486"/>
      <c r="AI179" s="1486"/>
      <c r="AJ179" s="1486"/>
      <c r="AK179" s="1486"/>
    </row>
    <row s="22829" customFormat="1" customHeight="1" ht="17.25">
      <c r="A180" s="2067"/>
      <c r="C180" s="2072"/>
      <c r="D180" s="2646"/>
      <c r="E180" s="2668"/>
      <c r="F180" s="2283"/>
      <c r="G180" s="2652"/>
      <c r="H180" s="539"/>
      <c r="I180" s="540"/>
      <c r="J180" s="540" t="s">
        <v>359</v>
      </c>
      <c r="K180" s="540"/>
      <c r="L180" s="540"/>
      <c r="M180" s="540"/>
      <c r="N180" s="540"/>
      <c r="O180" s="540"/>
      <c r="P180" s="540"/>
      <c r="Q180" s="540"/>
      <c r="R180" s="540"/>
      <c r="S180" s="2073"/>
      <c r="T180" s="2073"/>
      <c r="U180" s="2073"/>
      <c r="V180" s="2073"/>
      <c r="W180" s="541"/>
      <c r="Y180" s="1486"/>
      <c r="Z180" s="1486"/>
      <c r="AA180" s="1486"/>
      <c r="AB180" s="1486"/>
      <c r="AC180" s="1486"/>
      <c r="AD180" s="1486"/>
      <c r="AE180" s="1486"/>
      <c r="AF180" s="1486"/>
      <c r="AG180" s="1486"/>
      <c r="AH180" s="1486"/>
      <c r="AI180" s="1486"/>
      <c r="AJ180" s="1486"/>
      <c r="AK180" s="1486"/>
    </row>
    <row customHeight="1" ht="17.25">
      <c r="A181" s="2078"/>
    </row>
    <row s="22829" customFormat="1" customHeight="1" ht="17.25">
      <c r="A182" s="2067"/>
      <c r="C182" s="2069"/>
      <c r="D182" s="2057"/>
      <c r="E182" s="2074"/>
      <c r="F182" s="2011"/>
      <c r="G182" s="2075"/>
      <c r="H182" s="2645"/>
      <c r="I182" s="2645">
        <v>1</v>
      </c>
      <c r="J182" s="2671"/>
      <c r="K182" s="2326" t="s">
        <v>63</v>
      </c>
      <c r="L182" s="2264"/>
      <c r="M182" s="2264" t="s">
        <v>168</v>
      </c>
      <c r="N182" s="2669" t="str">
        <f>IF(Z182="","",INDEX(TERRITORY_MR_LIST,MATCH(Z182,TERRITORY_LIST_ID,0)))</f>
        <v/>
      </c>
      <c r="O182" s="2326" t="s">
        <v>63</v>
      </c>
      <c r="P182" s="2264"/>
      <c r="Q182" s="2264" t="s">
        <v>168</v>
      </c>
      <c r="R182" s="2650" t="s">
        <v>24</v>
      </c>
      <c r="S182" s="2524" t="s">
        <v>53</v>
      </c>
      <c r="T182" s="2029"/>
      <c r="U182" s="2029" t="s">
        <v>168</v>
      </c>
      <c r="V182" s="1661"/>
      <c r="W182" s="2671"/>
      <c r="Y182" s="1494"/>
      <c r="Z182" s="1494"/>
      <c r="AA182" s="1494"/>
      <c r="AB182" s="1494"/>
      <c r="AC182" s="1494"/>
      <c r="AD182" s="1494"/>
      <c r="AE182" s="1494"/>
      <c r="AF182" s="1494"/>
      <c r="AG182" s="1494"/>
      <c r="AH182" s="1494"/>
      <c r="AI182" s="1494"/>
      <c r="AJ182" s="1494"/>
      <c r="AK182" s="1494"/>
      <c r="AL182" s="2071"/>
      <c r="AM182" s="2071"/>
      <c r="AN182" s="1494"/>
      <c r="AO182" s="1494"/>
      <c r="AP182" s="1494"/>
      <c r="AQ182" s="1494"/>
    </row>
    <row s="22829" customFormat="1" customHeight="1" ht="17.25">
      <c r="A183" s="2067"/>
      <c r="C183" s="2072"/>
      <c r="D183" s="2057"/>
      <c r="E183" s="2074"/>
      <c r="F183" s="2011"/>
      <c r="G183" s="2075"/>
      <c r="H183" s="2645"/>
      <c r="I183" s="2645"/>
      <c r="J183" s="2671"/>
      <c r="K183" s="2327"/>
      <c r="L183" s="2264"/>
      <c r="M183" s="2264"/>
      <c r="N183" s="2669"/>
      <c r="O183" s="2327"/>
      <c r="P183" s="2264"/>
      <c r="Q183" s="2264"/>
      <c r="R183" s="2650"/>
      <c r="S183" s="2524"/>
      <c r="T183" s="1662"/>
      <c r="U183" s="1663"/>
      <c r="V183" s="1663"/>
      <c r="W183" s="2671"/>
      <c r="Y183" s="1486"/>
      <c r="Z183" s="1486"/>
      <c r="AA183" s="1486"/>
      <c r="AB183" s="1486"/>
      <c r="AC183" s="1486"/>
      <c r="AD183" s="1486"/>
      <c r="AE183" s="1486"/>
      <c r="AF183" s="1486"/>
      <c r="AG183" s="1486"/>
      <c r="AH183" s="1486"/>
      <c r="AI183" s="1486"/>
      <c r="AJ183" s="1486"/>
      <c r="AK183" s="1486"/>
    </row>
    <row s="22829" customFormat="1" customHeight="1" ht="17.25">
      <c r="A184" s="2067"/>
      <c r="C184" s="2072"/>
      <c r="D184" s="2057"/>
      <c r="E184" s="2074"/>
      <c r="F184" s="2011"/>
      <c r="G184" s="2075"/>
      <c r="H184" s="2646"/>
      <c r="I184" s="2646"/>
      <c r="J184" s="2672"/>
      <c r="K184" s="2327"/>
      <c r="L184" s="2646"/>
      <c r="M184" s="2646"/>
      <c r="N184" s="2670"/>
      <c r="O184" s="2268"/>
      <c r="P184" s="539"/>
      <c r="Q184" s="540"/>
      <c r="R184" s="540" t="s">
        <v>305</v>
      </c>
      <c r="S184" s="2073"/>
      <c r="T184" s="2073"/>
      <c r="U184" s="2073"/>
      <c r="V184" s="2073"/>
      <c r="W184" s="1660"/>
      <c r="Y184" s="1486"/>
      <c r="Z184" s="1486"/>
      <c r="AA184" s="1486"/>
      <c r="AB184" s="1486"/>
      <c r="AC184" s="1486"/>
      <c r="AD184" s="1486"/>
      <c r="AE184" s="1486"/>
      <c r="AF184" s="1486"/>
      <c r="AG184" s="1486"/>
      <c r="AH184" s="1486"/>
      <c r="AI184" s="1486"/>
      <c r="AJ184" s="1486"/>
      <c r="AK184" s="1486"/>
    </row>
    <row s="22829" customFormat="1" customHeight="1" ht="17.25">
      <c r="A185" s="2067"/>
      <c r="C185" s="2072"/>
      <c r="D185" s="2057"/>
      <c r="E185" s="2074"/>
      <c r="F185" s="2011"/>
      <c r="G185" s="2075"/>
      <c r="H185" s="2646"/>
      <c r="I185" s="2646"/>
      <c r="J185" s="2672"/>
      <c r="K185" s="2268"/>
      <c r="L185" s="539"/>
      <c r="M185" s="540"/>
      <c r="N185" s="540" t="s">
        <v>358</v>
      </c>
      <c r="O185" s="540"/>
      <c r="P185" s="540"/>
      <c r="Q185" s="540"/>
      <c r="R185" s="540"/>
      <c r="S185" s="2073"/>
      <c r="T185" s="2073"/>
      <c r="U185" s="2073"/>
      <c r="V185" s="2073"/>
      <c r="W185" s="541"/>
      <c r="Y185" s="1486"/>
      <c r="Z185" s="1486"/>
      <c r="AA185" s="1486"/>
      <c r="AB185" s="1486"/>
      <c r="AC185" s="1486"/>
      <c r="AD185" s="1486"/>
      <c r="AE185" s="1486"/>
      <c r="AF185" s="1486"/>
      <c r="AG185" s="1486"/>
      <c r="AH185" s="1486"/>
      <c r="AI185" s="1486"/>
      <c r="AJ185" s="1486"/>
      <c r="AK185" s="1486"/>
    </row>
    <row customHeight="1" ht="17.25">
      <c r="A186" s="2078"/>
    </row>
    <row s="22829" customFormat="1" customHeight="1" ht="17.25">
      <c r="A187" s="2067"/>
      <c r="C187" s="2069"/>
      <c r="D187" s="2057"/>
      <c r="E187" s="2074"/>
      <c r="F187" s="2011"/>
      <c r="G187" s="2075"/>
      <c r="H187" s="2057"/>
      <c r="I187" s="2057"/>
      <c r="J187" s="2079"/>
      <c r="K187" s="2075"/>
      <c r="L187" s="2264"/>
      <c r="M187" s="2264" t="s">
        <v>168</v>
      </c>
      <c r="N187" s="2669" t="str">
        <f>IF(Z187="","",INDEX(TERRITORY_MR_LIST,MATCH(Z187,TERRITORY_LIST_ID,0)))</f>
        <v/>
      </c>
      <c r="O187" s="2326" t="s">
        <v>63</v>
      </c>
      <c r="P187" s="2264"/>
      <c r="Q187" s="2264" t="s">
        <v>168</v>
      </c>
      <c r="R187" s="2650" t="s">
        <v>24</v>
      </c>
      <c r="S187" s="2524" t="s">
        <v>53</v>
      </c>
      <c r="T187" s="2029"/>
      <c r="U187" s="2029" t="s">
        <v>168</v>
      </c>
      <c r="V187" s="1661"/>
      <c r="W187" s="2671"/>
      <c r="Y187" s="1494"/>
      <c r="Z187" s="1494"/>
      <c r="AA187" s="1494"/>
      <c r="AB187" s="1494"/>
      <c r="AC187" s="1494"/>
      <c r="AD187" s="1494"/>
      <c r="AE187" s="1494"/>
      <c r="AF187" s="1494"/>
      <c r="AG187" s="1494"/>
      <c r="AH187" s="1494"/>
      <c r="AI187" s="1494"/>
      <c r="AJ187" s="1494"/>
      <c r="AK187" s="1494"/>
      <c r="AL187" s="2071"/>
      <c r="AM187" s="2071"/>
      <c r="AN187" s="1494"/>
      <c r="AO187" s="1494"/>
      <c r="AP187" s="1494"/>
      <c r="AQ187" s="1494"/>
    </row>
    <row s="22829" customFormat="1" customHeight="1" ht="17.25">
      <c r="A188" s="2067"/>
      <c r="C188" s="2072"/>
      <c r="D188" s="2057"/>
      <c r="E188" s="2074"/>
      <c r="F188" s="2011"/>
      <c r="G188" s="2075"/>
      <c r="H188" s="2057"/>
      <c r="I188" s="2057"/>
      <c r="J188" s="2079"/>
      <c r="K188" s="2075"/>
      <c r="L188" s="2264"/>
      <c r="M188" s="2264"/>
      <c r="N188" s="2669"/>
      <c r="O188" s="2327"/>
      <c r="P188" s="2264"/>
      <c r="Q188" s="2264"/>
      <c r="R188" s="2650"/>
      <c r="S188" s="2524"/>
      <c r="T188" s="1662"/>
      <c r="U188" s="1663"/>
      <c r="V188" s="1663"/>
      <c r="W188" s="2671"/>
      <c r="Y188" s="1486"/>
      <c r="Z188" s="1486"/>
      <c r="AA188" s="1486"/>
      <c r="AB188" s="1486"/>
      <c r="AC188" s="1486"/>
      <c r="AD188" s="1486"/>
      <c r="AE188" s="1486"/>
      <c r="AF188" s="1486"/>
      <c r="AG188" s="1486"/>
      <c r="AH188" s="1486"/>
      <c r="AI188" s="1486"/>
      <c r="AJ188" s="1486"/>
      <c r="AK188" s="1486"/>
    </row>
    <row s="22829" customFormat="1" customHeight="1" ht="17.25">
      <c r="A189" s="2067"/>
      <c r="C189" s="2072"/>
      <c r="D189" s="2057"/>
      <c r="E189" s="2074"/>
      <c r="F189" s="2011"/>
      <c r="G189" s="2075"/>
      <c r="H189" s="2057"/>
      <c r="I189" s="2057"/>
      <c r="J189" s="2079"/>
      <c r="K189" s="2075"/>
      <c r="L189" s="2646"/>
      <c r="M189" s="2646"/>
      <c r="N189" s="2670"/>
      <c r="O189" s="2268"/>
      <c r="P189" s="539"/>
      <c r="Q189" s="540"/>
      <c r="R189" s="540" t="s">
        <v>305</v>
      </c>
      <c r="S189" s="2073"/>
      <c r="T189" s="2073"/>
      <c r="U189" s="2073"/>
      <c r="V189" s="2073"/>
      <c r="W189" s="1660"/>
      <c r="Y189" s="1486"/>
      <c r="Z189" s="1486"/>
      <c r="AA189" s="1486"/>
      <c r="AB189" s="1486"/>
      <c r="AC189" s="1486"/>
      <c r="AD189" s="1486"/>
      <c r="AE189" s="1486"/>
      <c r="AF189" s="1486"/>
      <c r="AG189" s="1486"/>
      <c r="AH189" s="1486"/>
      <c r="AI189" s="1486"/>
      <c r="AJ189" s="1486"/>
      <c r="AK189" s="1486"/>
    </row>
    <row customHeight="1" ht="17.25">
      <c r="A190" s="2078"/>
    </row>
    <row s="22829" customFormat="1" customHeight="1" ht="17.25">
      <c r="A191" s="2067"/>
      <c r="C191" s="2069"/>
      <c r="D191" s="2057"/>
      <c r="E191" s="2074"/>
      <c r="F191" s="2011"/>
      <c r="G191" s="2075"/>
      <c r="H191" s="2057"/>
      <c r="I191" s="2057"/>
      <c r="J191" s="2079"/>
      <c r="K191" s="2075"/>
      <c r="L191" s="2057"/>
      <c r="M191" s="2057"/>
      <c r="N191" s="2077"/>
      <c r="O191" s="2014"/>
      <c r="P191" s="2264"/>
      <c r="Q191" s="2264" t="s">
        <v>168</v>
      </c>
      <c r="R191" s="2650" t="s">
        <v>24</v>
      </c>
      <c r="S191" s="2524" t="s">
        <v>53</v>
      </c>
      <c r="T191" s="2029"/>
      <c r="U191" s="2029" t="s">
        <v>168</v>
      </c>
      <c r="V191" s="1661"/>
      <c r="W191" s="2671"/>
      <c r="Y191" s="1494"/>
      <c r="Z191" s="1494"/>
      <c r="AA191" s="1494"/>
      <c r="AB191" s="1494"/>
      <c r="AC191" s="1494"/>
      <c r="AD191" s="1494"/>
      <c r="AE191" s="1494"/>
      <c r="AF191" s="1494"/>
      <c r="AG191" s="1494"/>
      <c r="AH191" s="1494"/>
      <c r="AI191" s="1494"/>
      <c r="AJ191" s="1494"/>
      <c r="AK191" s="1494"/>
      <c r="AL191" s="2071"/>
      <c r="AM191" s="2071"/>
      <c r="AN191" s="1494"/>
      <c r="AO191" s="1494"/>
      <c r="AP191" s="1494"/>
      <c r="AQ191" s="1494"/>
    </row>
    <row s="22829" customFormat="1" customHeight="1" ht="17.25">
      <c r="A192" s="2067"/>
      <c r="C192" s="2072"/>
      <c r="D192" s="2057"/>
      <c r="E192" s="2074"/>
      <c r="F192" s="2011"/>
      <c r="G192" s="2075"/>
      <c r="H192" s="2057"/>
      <c r="I192" s="2057"/>
      <c r="J192" s="2079"/>
      <c r="K192" s="2075"/>
      <c r="L192" s="2057"/>
      <c r="M192" s="2057"/>
      <c r="N192" s="2077"/>
      <c r="O192" s="2014"/>
      <c r="P192" s="2264"/>
      <c r="Q192" s="2264"/>
      <c r="R192" s="2650"/>
      <c r="S192" s="2524"/>
      <c r="T192" s="1662"/>
      <c r="U192" s="1663"/>
      <c r="V192" s="1663"/>
      <c r="W192" s="2671"/>
      <c r="Y192" s="1486"/>
      <c r="Z192" s="1486"/>
      <c r="AA192" s="1486"/>
      <c r="AB192" s="1486"/>
      <c r="AC192" s="1486"/>
      <c r="AD192" s="1486"/>
      <c r="AE192" s="1486"/>
      <c r="AF192" s="1486"/>
      <c r="AG192" s="1486"/>
      <c r="AH192" s="1486"/>
      <c r="AI192" s="1486"/>
      <c r="AJ192" s="1486"/>
      <c r="AK192" s="1486"/>
    </row>
    <row customHeight="1" ht="17.25">
      <c r="A193" s="2078"/>
    </row>
    <row customHeight="1" ht="16.5">
      <c r="A194" s="2067"/>
      <c r="B194" s="2068"/>
      <c r="C194" s="2072"/>
      <c r="D194" s="2682"/>
      <c r="E194" s="2323"/>
      <c r="F194" s="2323"/>
      <c r="G194" s="2253"/>
      <c r="H194" s="2683"/>
      <c r="I194" s="2673"/>
      <c r="J194" s="2288"/>
      <c r="K194" s="2271"/>
      <c r="L194" s="2271"/>
      <c r="M194" s="2271"/>
      <c r="N194" s="2665"/>
      <c r="O194" s="2271"/>
      <c r="P194" s="2271"/>
      <c r="Q194" s="2271"/>
      <c r="R194" s="2675"/>
      <c r="S194" s="2271"/>
      <c r="T194" s="2010"/>
      <c r="U194" s="2010"/>
      <c r="V194" s="2080"/>
      <c r="W194" s="1523"/>
    </row>
    <row customHeight="1" ht="16.5">
      <c r="A195" s="2067"/>
      <c r="B195" s="2068"/>
      <c r="C195" s="2072"/>
      <c r="D195" s="2682"/>
      <c r="E195" s="2323"/>
      <c r="F195" s="2323"/>
      <c r="G195" s="2253"/>
      <c r="H195" s="2684"/>
      <c r="I195" s="2674"/>
      <c r="J195" s="2289"/>
      <c r="K195" s="2272"/>
      <c r="L195" s="2272"/>
      <c r="M195" s="2272"/>
      <c r="N195" s="2666"/>
      <c r="O195" s="2272"/>
      <c r="P195" s="2272"/>
      <c r="Q195" s="2272"/>
      <c r="R195" s="2667"/>
      <c r="S195" s="2272"/>
      <c r="T195" s="1524"/>
      <c r="U195" s="1524"/>
      <c r="V195" s="1524"/>
      <c r="W195" s="1525"/>
    </row>
    <row customHeight="1" ht="17.25">
      <c r="A196" s="2067"/>
      <c r="B196" s="2068"/>
      <c r="C196" s="2072"/>
      <c r="D196" s="2682"/>
      <c r="E196" s="2323"/>
      <c r="F196" s="2323"/>
      <c r="G196" s="2253"/>
      <c r="H196" s="2684"/>
      <c r="I196" s="2674"/>
      <c r="J196" s="2685"/>
      <c r="K196" s="2272"/>
      <c r="L196" s="2272"/>
      <c r="M196" s="2272"/>
      <c r="N196" s="2667"/>
      <c r="O196" s="2272"/>
      <c r="P196" s="2013"/>
      <c r="Q196" s="1524"/>
      <c r="R196" s="1524"/>
      <c r="S196" s="2081"/>
      <c r="T196" s="2081"/>
      <c r="U196" s="2081"/>
      <c r="V196" s="2081"/>
      <c r="W196" s="1525"/>
    </row>
    <row customHeight="1" ht="17.25">
      <c r="A197" s="2067"/>
      <c r="B197" s="2068"/>
      <c r="C197" s="2072"/>
      <c r="D197" s="2682"/>
      <c r="E197" s="2323"/>
      <c r="F197" s="2323"/>
      <c r="G197" s="2253"/>
      <c r="H197" s="2684"/>
      <c r="I197" s="2674"/>
      <c r="J197" s="2685"/>
      <c r="K197" s="2272"/>
      <c r="L197" s="1524"/>
      <c r="M197" s="1524"/>
      <c r="N197" s="1524"/>
      <c r="O197" s="1524"/>
      <c r="P197" s="1524"/>
      <c r="Q197" s="1524"/>
      <c r="R197" s="1524"/>
      <c r="S197" s="2081"/>
      <c r="T197" s="2081"/>
      <c r="U197" s="2081"/>
      <c r="V197" s="2081"/>
      <c r="W197" s="1525"/>
    </row>
    <row customHeight="1" ht="17.25">
      <c r="A198" s="2067"/>
      <c r="B198" s="2068"/>
      <c r="C198" s="2072"/>
      <c r="D198" s="2682"/>
      <c r="E198" s="2323"/>
      <c r="F198" s="2323"/>
      <c r="G198" s="2253"/>
      <c r="H198" s="1526"/>
      <c r="I198" s="1527"/>
      <c r="J198" s="1527"/>
      <c r="K198" s="1527"/>
      <c r="L198" s="1527"/>
      <c r="M198" s="1527"/>
      <c r="N198" s="1527"/>
      <c r="O198" s="1527"/>
      <c r="P198" s="1527"/>
      <c r="Q198" s="1527"/>
      <c r="R198" s="1527"/>
      <c r="S198" s="2082"/>
      <c r="T198" s="2082"/>
      <c r="U198" s="2082"/>
      <c r="V198" s="2082"/>
      <c r="W198" s="1529"/>
    </row>
    <row r="200" s="22637" customFormat="1" customHeight="1" ht="17.25">
      <c r="A200" s="2042" t="s">
        <v>1963</v>
      </c>
    </row>
    <row customHeight="1" ht="17.25">
      <c r="G201" s="2066"/>
      <c r="H201" s="2066"/>
      <c r="I201" s="2066"/>
      <c r="M201" s="2062"/>
    </row>
    <row s="15824" customFormat="1" customHeight="1" ht="15">
      <c r="D202" s="2701"/>
      <c r="E202" s="2318"/>
      <c r="F202" s="2318"/>
      <c r="G202" s="2326"/>
      <c r="H202" s="1791"/>
      <c r="I202" s="2702">
        <v>1</v>
      </c>
      <c r="J202" s="2671"/>
      <c r="K202" s="1806"/>
      <c r="L202" s="2326" t="s">
        <v>63</v>
      </c>
      <c r="M202" s="2326" t="s">
        <v>63</v>
      </c>
      <c r="N202" s="1791"/>
      <c r="O202" s="2264" t="s">
        <v>168</v>
      </c>
      <c r="P202" s="2696"/>
      <c r="Q202" s="1807"/>
      <c r="R202" s="2326" t="s">
        <v>63</v>
      </c>
      <c r="S202" s="2326" t="s">
        <v>63</v>
      </c>
      <c r="T202" s="2083"/>
      <c r="U202" s="2264" t="s">
        <v>168</v>
      </c>
      <c r="V202" s="2698" t="str">
        <f>IF(AK202="","",INDEX(TERRITORY_MR_LIST,MATCH(AK202,TERRITORY_LIST_ID,0)))</f>
        <v/>
      </c>
      <c r="W202" s="1808"/>
      <c r="X202" s="2326" t="s">
        <v>63</v>
      </c>
      <c r="Y202" s="2326" t="s">
        <v>53</v>
      </c>
      <c r="Z202" s="1791"/>
      <c r="AA202" s="2264" t="s">
        <v>168</v>
      </c>
      <c r="AB202" s="2700"/>
      <c r="AC202" s="1809"/>
      <c r="AD202" s="2326" t="s">
        <v>63</v>
      </c>
      <c r="AE202" s="2326" t="s">
        <v>53</v>
      </c>
      <c r="AF202" s="1789"/>
      <c r="AG202" s="2038" t="s">
        <v>168</v>
      </c>
      <c r="AH202" s="1799"/>
      <c r="AI202" s="2028"/>
    </row>
    <row s="15824" customFormat="1" customHeight="1" ht="15">
      <c r="D203" s="2701"/>
      <c r="E203" s="2318"/>
      <c r="F203" s="2318"/>
      <c r="G203" s="2327"/>
      <c r="H203" s="1791"/>
      <c r="I203" s="2702"/>
      <c r="J203" s="2671"/>
      <c r="K203" s="1790"/>
      <c r="L203" s="2327"/>
      <c r="M203" s="2327"/>
      <c r="N203" s="1791"/>
      <c r="O203" s="2264"/>
      <c r="P203" s="2696"/>
      <c r="Q203" s="1787"/>
      <c r="R203" s="2327"/>
      <c r="S203" s="2327"/>
      <c r="T203" s="2083"/>
      <c r="U203" s="2264"/>
      <c r="V203" s="2699"/>
      <c r="W203" s="1788"/>
      <c r="X203" s="2327"/>
      <c r="Y203" s="2327"/>
      <c r="Z203" s="1791"/>
      <c r="AA203" s="2264"/>
      <c r="AB203" s="2617"/>
      <c r="AC203" s="1792"/>
      <c r="AD203" s="2268"/>
      <c r="AE203" s="2268"/>
      <c r="AF203" s="1793"/>
      <c r="AG203" s="1794"/>
      <c r="AH203" s="2704" t="s">
        <v>1964</v>
      </c>
      <c r="AI203" s="2705"/>
    </row>
    <row s="15824" customFormat="1" customHeight="1" ht="15">
      <c r="D204" s="2701"/>
      <c r="E204" s="2318"/>
      <c r="F204" s="2318"/>
      <c r="G204" s="2327"/>
      <c r="H204" s="1791"/>
      <c r="I204" s="2702"/>
      <c r="J204" s="2671"/>
      <c r="K204" s="1790"/>
      <c r="L204" s="2327"/>
      <c r="M204" s="2327"/>
      <c r="N204" s="1791"/>
      <c r="O204" s="2264"/>
      <c r="P204" s="2696"/>
      <c r="Q204" s="1787"/>
      <c r="R204" s="2327"/>
      <c r="S204" s="2327"/>
      <c r="T204" s="2083"/>
      <c r="U204" s="2264"/>
      <c r="V204" s="2699"/>
      <c r="W204" s="1788"/>
      <c r="X204" s="2327"/>
      <c r="Y204" s="2327"/>
      <c r="Z204" s="1830"/>
      <c r="AA204" s="1796"/>
      <c r="AB204" s="2706" t="s">
        <v>1965</v>
      </c>
      <c r="AC204" s="2706"/>
      <c r="AD204" s="2706"/>
      <c r="AE204" s="2706"/>
      <c r="AF204" s="2706"/>
      <c r="AG204" s="2706"/>
      <c r="AH204" s="2706"/>
      <c r="AI204" s="2707"/>
    </row>
    <row s="15824" customFormat="1" customHeight="1" ht="15">
      <c r="D205" s="2701"/>
      <c r="E205" s="2318"/>
      <c r="F205" s="2318"/>
      <c r="G205" s="2327"/>
      <c r="H205" s="1791"/>
      <c r="I205" s="2702"/>
      <c r="J205" s="2671"/>
      <c r="K205" s="1790"/>
      <c r="L205" s="2327"/>
      <c r="M205" s="2327"/>
      <c r="N205" s="1791"/>
      <c r="O205" s="2264"/>
      <c r="P205" s="2708"/>
      <c r="Q205" s="1787"/>
      <c r="R205" s="2327"/>
      <c r="S205" s="2327"/>
      <c r="T205" s="2084"/>
      <c r="U205" s="1831"/>
      <c r="V205" s="2704" t="s">
        <v>162</v>
      </c>
      <c r="W205" s="2704"/>
      <c r="X205" s="2704"/>
      <c r="Y205" s="2704"/>
      <c r="Z205" s="2704"/>
      <c r="AA205" s="2704"/>
      <c r="AB205" s="2704"/>
      <c r="AC205" s="2704"/>
      <c r="AD205" s="2704"/>
      <c r="AE205" s="2704"/>
      <c r="AF205" s="2704"/>
      <c r="AG205" s="2704"/>
      <c r="AH205" s="2704"/>
      <c r="AI205" s="2705"/>
    </row>
    <row s="15824" customFormat="1" customHeight="1" ht="11.25">
      <c r="D206" s="2701"/>
      <c r="E206" s="2318"/>
      <c r="F206" s="2318"/>
      <c r="G206" s="2327"/>
      <c r="H206" s="1795"/>
      <c r="I206" s="2702"/>
      <c r="J206" s="2703"/>
      <c r="K206" s="1790"/>
      <c r="L206" s="2327"/>
      <c r="M206" s="2327"/>
      <c r="N206" s="1795"/>
      <c r="O206" s="1796"/>
      <c r="P206" s="2704" t="s">
        <v>1966</v>
      </c>
      <c r="Q206" s="2704"/>
      <c r="R206" s="2704"/>
      <c r="S206" s="2704"/>
      <c r="T206" s="2704"/>
      <c r="U206" s="2704"/>
      <c r="V206" s="2704"/>
      <c r="W206" s="2704"/>
      <c r="X206" s="2704"/>
      <c r="Y206" s="2704"/>
      <c r="Z206" s="2704"/>
      <c r="AA206" s="2704"/>
      <c r="AB206" s="2704"/>
      <c r="AC206" s="2704"/>
      <c r="AD206" s="2704"/>
      <c r="AE206" s="2704"/>
      <c r="AF206" s="2704"/>
      <c r="AG206" s="2704"/>
      <c r="AH206" s="2704"/>
      <c r="AI206" s="2705"/>
    </row>
    <row s="16183" customFormat="1" customHeight="1" ht="11.25">
      <c r="D207" s="2701"/>
      <c r="E207" s="2318"/>
      <c r="F207" s="2318"/>
      <c r="G207" s="2268"/>
      <c r="H207" s="1797"/>
      <c r="I207" s="1798"/>
      <c r="J207" s="2704" t="s">
        <v>359</v>
      </c>
      <c r="K207" s="2704"/>
      <c r="L207" s="2704"/>
      <c r="M207" s="2704"/>
      <c r="N207" s="2704"/>
      <c r="O207" s="2704"/>
      <c r="P207" s="2704"/>
      <c r="Q207" s="2704"/>
      <c r="R207" s="2704"/>
      <c r="S207" s="2704"/>
      <c r="T207" s="2704"/>
      <c r="U207" s="2704"/>
      <c r="V207" s="2704"/>
      <c r="W207" s="2704"/>
      <c r="X207" s="2704"/>
      <c r="Y207" s="2704"/>
      <c r="Z207" s="2704"/>
      <c r="AA207" s="2704"/>
      <c r="AB207" s="2704"/>
      <c r="AC207" s="2704"/>
      <c r="AD207" s="2704"/>
      <c r="AE207" s="2704"/>
      <c r="AF207" s="2704"/>
      <c r="AG207" s="2704"/>
      <c r="AH207" s="2704"/>
      <c r="AI207" s="2705"/>
      <c r="BK207" s="1801"/>
    </row>
    <row customHeight="1" ht="17.25">
      <c r="G208" s="2066"/>
      <c r="I208" s="2066"/>
      <c r="J208" s="2066"/>
      <c r="N208" s="2062"/>
    </row>
    <row s="15824" customFormat="1" customHeight="1" ht="15">
      <c r="D209" s="2701"/>
      <c r="E209" s="2318"/>
      <c r="F209" s="2318"/>
      <c r="G209" s="2323"/>
      <c r="H209" s="1826"/>
      <c r="I209" s="2328"/>
      <c r="J209" s="2288"/>
      <c r="K209" s="2012"/>
      <c r="L209" s="2271"/>
      <c r="M209" s="2271"/>
      <c r="N209" s="1811"/>
      <c r="O209" s="2271"/>
      <c r="P209" s="2288"/>
      <c r="Q209" s="2016"/>
      <c r="R209" s="2271"/>
      <c r="S209" s="2271"/>
      <c r="T209" s="2085"/>
      <c r="U209" s="2271"/>
      <c r="V209" s="2288"/>
      <c r="W209" s="1814"/>
      <c r="X209" s="2271"/>
      <c r="Y209" s="2271"/>
      <c r="Z209" s="1811"/>
      <c r="AA209" s="2271"/>
      <c r="AB209" s="2288"/>
      <c r="AC209" s="1815"/>
      <c r="AD209" s="2271"/>
      <c r="AE209" s="2271"/>
      <c r="AF209" s="2010"/>
      <c r="AG209" s="2010"/>
      <c r="AH209" s="1816"/>
      <c r="AI209" s="1523"/>
    </row>
    <row s="15824" customFormat="1" customHeight="1" ht="15">
      <c r="D210" s="2701"/>
      <c r="E210" s="2318"/>
      <c r="F210" s="2318"/>
      <c r="G210" s="2323"/>
      <c r="H210" s="1827"/>
      <c r="I210" s="2329"/>
      <c r="J210" s="2289"/>
      <c r="K210" s="1837"/>
      <c r="L210" s="2272"/>
      <c r="M210" s="2272"/>
      <c r="N210" s="1817"/>
      <c r="O210" s="2272"/>
      <c r="P210" s="2289"/>
      <c r="Q210" s="2017"/>
      <c r="R210" s="2272"/>
      <c r="S210" s="2272"/>
      <c r="T210" s="2086"/>
      <c r="U210" s="2272"/>
      <c r="V210" s="2289"/>
      <c r="W210" s="1820"/>
      <c r="X210" s="2272"/>
      <c r="Y210" s="2272"/>
      <c r="Z210" s="1817"/>
      <c r="AA210" s="2272"/>
      <c r="AB210" s="2289"/>
      <c r="AC210" s="1821"/>
      <c r="AD210" s="2272"/>
      <c r="AE210" s="2272"/>
      <c r="AF210" s="2015"/>
      <c r="AG210" s="2015"/>
      <c r="AH210" s="2332"/>
      <c r="AI210" s="2333"/>
    </row>
    <row s="15824" customFormat="1" customHeight="1" ht="15">
      <c r="D211" s="2701"/>
      <c r="E211" s="2318"/>
      <c r="F211" s="2318"/>
      <c r="G211" s="2323"/>
      <c r="H211" s="1827"/>
      <c r="I211" s="2329"/>
      <c r="J211" s="2289"/>
      <c r="K211" s="1837"/>
      <c r="L211" s="2272"/>
      <c r="M211" s="2272"/>
      <c r="N211" s="1817"/>
      <c r="O211" s="2272"/>
      <c r="P211" s="2289"/>
      <c r="Q211" s="2017"/>
      <c r="R211" s="2272"/>
      <c r="S211" s="2272"/>
      <c r="T211" s="2086"/>
      <c r="U211" s="2272"/>
      <c r="V211" s="2289"/>
      <c r="W211" s="1820"/>
      <c r="X211" s="2272"/>
      <c r="Y211" s="2272"/>
      <c r="Z211" s="2013"/>
      <c r="AA211" s="2015"/>
      <c r="AB211" s="2332"/>
      <c r="AC211" s="2332"/>
      <c r="AD211" s="2332"/>
      <c r="AE211" s="2332"/>
      <c r="AF211" s="2332"/>
      <c r="AG211" s="2332"/>
      <c r="AH211" s="2332"/>
      <c r="AI211" s="2333"/>
    </row>
    <row s="15824" customFormat="1" customHeight="1" ht="15">
      <c r="D212" s="2701"/>
      <c r="E212" s="2318"/>
      <c r="F212" s="2318"/>
      <c r="G212" s="2323"/>
      <c r="H212" s="1827"/>
      <c r="I212" s="2329"/>
      <c r="J212" s="2289"/>
      <c r="K212" s="1837"/>
      <c r="L212" s="2272"/>
      <c r="M212" s="2272"/>
      <c r="N212" s="1817"/>
      <c r="O212" s="2272"/>
      <c r="P212" s="2289"/>
      <c r="Q212" s="2017"/>
      <c r="R212" s="2272"/>
      <c r="S212" s="2272"/>
      <c r="T212" s="2087"/>
      <c r="U212" s="1824"/>
      <c r="V212" s="2332"/>
      <c r="W212" s="2332"/>
      <c r="X212" s="2332"/>
      <c r="Y212" s="2332"/>
      <c r="Z212" s="2332"/>
      <c r="AA212" s="2332"/>
      <c r="AB212" s="2332"/>
      <c r="AC212" s="2332"/>
      <c r="AD212" s="2332"/>
      <c r="AE212" s="2332"/>
      <c r="AF212" s="2332"/>
      <c r="AG212" s="2332"/>
      <c r="AH212" s="2332"/>
      <c r="AI212" s="2333"/>
    </row>
    <row s="15824" customFormat="1" customHeight="1" ht="11.25">
      <c r="D213" s="2701"/>
      <c r="E213" s="2318"/>
      <c r="F213" s="2318"/>
      <c r="G213" s="2323"/>
      <c r="H213" s="1828"/>
      <c r="I213" s="2329"/>
      <c r="J213" s="2289"/>
      <c r="K213" s="1837"/>
      <c r="L213" s="2272"/>
      <c r="M213" s="2272"/>
      <c r="N213" s="2015"/>
      <c r="O213" s="2015"/>
      <c r="P213" s="2332"/>
      <c r="Q213" s="2332"/>
      <c r="R213" s="2332"/>
      <c r="S213" s="2332"/>
      <c r="T213" s="2332"/>
      <c r="U213" s="2332"/>
      <c r="V213" s="2332"/>
      <c r="W213" s="2332"/>
      <c r="X213" s="2332"/>
      <c r="Y213" s="2332"/>
      <c r="Z213" s="2332"/>
      <c r="AA213" s="2332"/>
      <c r="AB213" s="2332"/>
      <c r="AC213" s="2332"/>
      <c r="AD213" s="2332"/>
      <c r="AE213" s="2332"/>
      <c r="AF213" s="2332"/>
      <c r="AG213" s="2332"/>
      <c r="AH213" s="2332"/>
      <c r="AI213" s="2333"/>
    </row>
    <row s="16183" customFormat="1" customHeight="1" ht="11.25">
      <c r="D214" s="2701"/>
      <c r="E214" s="2318"/>
      <c r="F214" s="2318"/>
      <c r="G214" s="2334"/>
      <c r="H214" s="1825"/>
      <c r="I214" s="1829"/>
      <c r="J214" s="2330"/>
      <c r="K214" s="2330"/>
      <c r="L214" s="2330"/>
      <c r="M214" s="2330"/>
      <c r="N214" s="2330"/>
      <c r="O214" s="2330"/>
      <c r="P214" s="2330"/>
      <c r="Q214" s="2330"/>
      <c r="R214" s="2330"/>
      <c r="S214" s="2330"/>
      <c r="T214" s="2330"/>
      <c r="U214" s="2330"/>
      <c r="V214" s="2330"/>
      <c r="W214" s="2330"/>
      <c r="X214" s="2330"/>
      <c r="Y214" s="2330"/>
      <c r="Z214" s="2330"/>
      <c r="AA214" s="2330"/>
      <c r="AB214" s="2330"/>
      <c r="AC214" s="2330"/>
      <c r="AD214" s="2330"/>
      <c r="AE214" s="2330"/>
      <c r="AF214" s="2330"/>
      <c r="AG214" s="2330"/>
      <c r="AH214" s="2330"/>
      <c r="AI214" s="2331"/>
      <c r="BK214" s="1801"/>
    </row>
    <row customHeight="1" ht="17.25">
      <c r="A215" s="2078"/>
    </row>
  </sheetData>
  <sheetProtection formatColumns="0" formatRows="0" sort="0" autoFilter="0" insertRows="0" insertColumns="1" deleteRows="0" deleteColumns="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7C82FA-B419-2D94-14E6-D7224BAE01D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22910" width="43.140625"/>
    <col min="2" max="2" style="22910" width="43.140625" hidden="1"/>
    <col min="3" max="3" style="22910" width="43.140625"/>
    <col min="4" max="5" style="22910" width="36.421875" customWidth="1"/>
    <col min="6" max="8" style="22911" width="36.421875" customWidth="1"/>
  </cols>
  <sheetData>
    <row customHeight="1" ht="9">
      <c r="A1" s="1068" t="s">
        <v>1967</v>
      </c>
      <c r="B1" s="1068"/>
      <c r="C1" s="1205" t="s">
        <v>1968</v>
      </c>
      <c r="D1" s="1203" t="s">
        <v>828</v>
      </c>
      <c r="E1" s="1203" t="s">
        <v>874</v>
      </c>
      <c r="F1" s="1203" t="s">
        <v>929</v>
      </c>
      <c r="G1" s="1203" t="s">
        <v>915</v>
      </c>
      <c r="H1" s="1203" t="s">
        <v>1644</v>
      </c>
    </row>
    <row customHeight="1" ht="9">
      <c r="A2" s="1206" t="s">
        <v>1969</v>
      </c>
      <c r="B2" s="1206"/>
      <c r="C2" s="1207" t="str">
        <f>INDEX(TEMPLATE_NUMBER_FORM_LIST,MATCH(TEMPLATE_SPHERE,TEMPLATE_SPHERE_LIST,0))</f>
        <v>10</v>
      </c>
      <c r="D2" s="1206" t="s">
        <v>1497</v>
      </c>
      <c r="E2" s="1206" t="s">
        <v>136</v>
      </c>
      <c r="F2" s="1208" t="s">
        <v>136</v>
      </c>
      <c r="G2" s="1206" t="s">
        <v>136</v>
      </c>
      <c r="H2" s="1209"/>
    </row>
    <row customHeight="1" ht="63">
      <c r="A3" s="1068"/>
      <c r="B3" s="1068" t="s">
        <v>168</v>
      </c>
      <c r="C3" s="120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207" t="s">
        <v>1970</v>
      </c>
      <c r="E3" s="120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208"/>
      <c r="G3" s="1209"/>
      <c r="H3" s="1068"/>
    </row>
    <row customHeight="1" ht="243">
      <c r="A4" s="1068" t="s">
        <v>1971</v>
      </c>
      <c r="B4" s="1068" t="s">
        <v>99</v>
      </c>
      <c r="C4" s="1207" t="str">
        <f>IF(TEMPLATE_SPHERE="HEAT",D4,IF(TEMPLATE_SPHERE="TKO",H4,E4))</f>
        <v>Форма 1. Информация об организации, осуществляющей горячее водоснабжение (общая информация)</v>
      </c>
      <c r="D4" s="1206" t="s">
        <v>1972</v>
      </c>
      <c r="E4" s="1207"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206"/>
      <c r="G4" s="1206"/>
      <c r="H4" s="1068" t="s">
        <v>1973</v>
      </c>
    </row>
    <row customHeight="1" ht="117">
      <c r="A5" s="1068" t="s">
        <v>1974</v>
      </c>
      <c r="B5" s="1068" t="s">
        <v>86</v>
      </c>
      <c r="C5" s="120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1068" t="s">
        <v>1975</v>
      </c>
      <c r="E5" s="107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209"/>
      <c r="G5" s="1209"/>
      <c r="H5" s="1068" t="s">
        <v>1976</v>
      </c>
    </row>
    <row customHeight="1" ht="45">
      <c r="A6" s="1068" t="s">
        <v>1977</v>
      </c>
      <c r="B6" s="1068" t="s">
        <v>87</v>
      </c>
      <c r="C6" s="1207"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1068" t="s">
        <v>1978</v>
      </c>
      <c r="E6" s="107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1068"/>
      <c r="G6" s="1068"/>
      <c r="H6" s="1209"/>
    </row>
    <row customHeight="1" ht="45">
      <c r="A7" s="1068" t="s">
        <v>1979</v>
      </c>
      <c r="B7" s="1068" t="s">
        <v>113</v>
      </c>
      <c r="C7" s="120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68" t="s">
        <v>1980</v>
      </c>
      <c r="E7" s="1068" t="s">
        <v>1981</v>
      </c>
      <c r="F7" s="1209"/>
      <c r="G7" s="1209"/>
      <c r="H7" s="1209"/>
    </row>
    <row customHeight="1" ht="108">
      <c r="A8" s="1068" t="s">
        <v>1982</v>
      </c>
      <c r="B8" s="1068" t="s">
        <v>88</v>
      </c>
      <c r="C8" s="120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68" t="s">
        <v>1186</v>
      </c>
      <c r="E8" s="1068" t="s">
        <v>1983</v>
      </c>
      <c r="F8" s="1209"/>
      <c r="G8" s="1209"/>
      <c r="H8" s="1209"/>
    </row>
    <row customHeight="1" ht="99">
      <c r="A9" s="1068" t="s">
        <v>1984</v>
      </c>
      <c r="B9" s="1068"/>
      <c r="C9" s="1068" t="s">
        <v>1985</v>
      </c>
      <c r="D9" s="1068"/>
      <c r="E9" s="1068"/>
      <c r="F9" s="1209"/>
      <c r="G9" s="1209"/>
      <c r="H9" s="1209"/>
    </row>
    <row customHeight="1" ht="126">
      <c r="A10" s="1068" t="s">
        <v>1986</v>
      </c>
      <c r="B10" s="1068"/>
      <c r="C10" s="1068" t="s">
        <v>1987</v>
      </c>
      <c r="D10" s="1068"/>
      <c r="E10" s="1068"/>
      <c r="F10" s="1209"/>
      <c r="G10" s="1209"/>
      <c r="H10" s="1209"/>
    </row>
    <row customHeight="1" ht="108">
      <c r="A11" s="1068" t="s">
        <v>1988</v>
      </c>
      <c r="B11" s="1068"/>
      <c r="C11" s="1068" t="s">
        <v>1989</v>
      </c>
      <c r="D11" s="1068"/>
      <c r="E11" s="1068"/>
      <c r="F11" s="1209"/>
      <c r="G11" s="1209"/>
      <c r="H11" s="1209"/>
    </row>
    <row customHeight="1" ht="54">
      <c r="A12" s="1068" t="s">
        <v>1990</v>
      </c>
      <c r="B12" s="1068"/>
      <c r="C12" s="1068" t="s">
        <v>1991</v>
      </c>
      <c r="D12" s="1068"/>
      <c r="E12" s="1068"/>
      <c r="F12" s="1209"/>
      <c r="G12" s="1209"/>
      <c r="H12" s="1209"/>
    </row>
    <row customHeight="1" ht="45">
      <c r="A13" s="1068" t="s">
        <v>1992</v>
      </c>
      <c r="B13" s="1068"/>
      <c r="C13" s="1068" t="s">
        <v>1993</v>
      </c>
      <c r="D13" s="1068"/>
      <c r="E13" s="1068"/>
      <c r="F13" s="1209"/>
      <c r="G13" s="1209"/>
      <c r="H13" s="1209"/>
    </row>
    <row customHeight="1" ht="117">
      <c r="A14" s="1068" t="s">
        <v>1994</v>
      </c>
      <c r="B14" s="1068"/>
      <c r="C14" s="1068" t="s">
        <v>1995</v>
      </c>
      <c r="D14" s="1068"/>
      <c r="E14" s="1068"/>
      <c r="F14" s="1209"/>
      <c r="G14" s="1209"/>
      <c r="H14" s="1209"/>
    </row>
    <row customHeight="1" ht="117">
      <c r="A15" s="1068" t="s">
        <v>1996</v>
      </c>
      <c r="B15" s="1068"/>
      <c r="C15" s="1068" t="s">
        <v>1997</v>
      </c>
      <c r="D15" s="1068"/>
      <c r="E15" s="1068"/>
      <c r="F15" s="1209"/>
      <c r="G15" s="1209"/>
      <c r="H15" s="1209"/>
    </row>
    <row customHeight="1" ht="63">
      <c r="A16" s="1068" t="s">
        <v>1998</v>
      </c>
      <c r="B16" s="1068"/>
      <c r="C16" s="1068" t="s">
        <v>1999</v>
      </c>
      <c r="D16" s="1068"/>
      <c r="E16" s="1068"/>
      <c r="F16" s="1209"/>
      <c r="G16" s="1209"/>
      <c r="H16" s="1209"/>
    </row>
    <row customHeight="1" ht="54">
      <c r="A17" s="1068" t="s">
        <v>2000</v>
      </c>
      <c r="B17" s="1068"/>
      <c r="C17" s="1207" t="s">
        <v>2001</v>
      </c>
      <c r="D17" s="1068"/>
      <c r="E17" s="1068"/>
      <c r="F17" s="1209"/>
      <c r="G17" s="1209"/>
      <c r="H17" s="1209"/>
    </row>
    <row customHeight="1" ht="27">
      <c r="A18" s="1068" t="s">
        <v>2002</v>
      </c>
      <c r="B18" s="1068"/>
      <c r="C18" s="1207" t="s">
        <v>2003</v>
      </c>
      <c r="D18" s="1068"/>
      <c r="E18" s="1068"/>
      <c r="F18" s="1209"/>
      <c r="G18" s="1209"/>
      <c r="H18" s="1209"/>
    </row>
    <row customHeight="1" ht="54">
      <c r="A19" s="1068" t="s">
        <v>2004</v>
      </c>
      <c r="B19" s="1068"/>
      <c r="C19" s="1207" t="s">
        <v>2005</v>
      </c>
      <c r="D19" s="1068"/>
      <c r="E19" s="1068"/>
      <c r="F19" s="1209"/>
      <c r="G19" s="1209"/>
      <c r="H19" s="1209"/>
    </row>
    <row customHeight="1" ht="36">
      <c r="A20" s="1068" t="s">
        <v>2006</v>
      </c>
      <c r="B20" s="1068"/>
      <c r="C20" s="1207" t="s">
        <v>2007</v>
      </c>
      <c r="D20" s="1068"/>
      <c r="E20" s="1068"/>
      <c r="F20" s="1209"/>
      <c r="G20" s="1209"/>
      <c r="H20" s="1209"/>
    </row>
    <row customHeight="1" ht="36">
      <c r="A21" s="1068" t="s">
        <v>2008</v>
      </c>
      <c r="B21" s="1068"/>
      <c r="C21" s="1207" t="s">
        <v>2009</v>
      </c>
      <c r="D21" s="1068"/>
      <c r="E21" s="1068"/>
      <c r="F21" s="1209"/>
      <c r="G21" s="1209"/>
      <c r="H21" s="1209"/>
    </row>
    <row customHeight="1" ht="27">
      <c r="A22" s="1068" t="s">
        <v>2010</v>
      </c>
      <c r="B22" s="1068"/>
      <c r="C22" s="1207" t="s">
        <v>2011</v>
      </c>
      <c r="D22" s="1068"/>
      <c r="E22" s="1068"/>
      <c r="F22" s="1209"/>
      <c r="G22" s="1209"/>
      <c r="H22" s="1209"/>
    </row>
    <row customHeight="1" ht="36">
      <c r="A23" s="1068" t="s">
        <v>2012</v>
      </c>
      <c r="B23" s="1068"/>
      <c r="C23" s="1207" t="s">
        <v>2013</v>
      </c>
      <c r="D23" s="1068"/>
      <c r="E23" s="1068"/>
      <c r="F23" s="1209"/>
      <c r="G23" s="1209"/>
      <c r="H23" s="1209"/>
    </row>
    <row customHeight="1" ht="28.5">
      <c r="A24" s="1068" t="s">
        <v>2014</v>
      </c>
      <c r="B24" s="1068"/>
      <c r="C24" s="1207" t="s">
        <v>2015</v>
      </c>
      <c r="D24" s="1068"/>
      <c r="E24" s="1068"/>
      <c r="F24" s="1209"/>
      <c r="G24" s="1209"/>
      <c r="H24" s="1209"/>
    </row>
    <row customHeight="1" ht="36">
      <c r="A25" s="1068" t="s">
        <v>2016</v>
      </c>
      <c r="B25" s="1068"/>
      <c r="C25" s="1207" t="s">
        <v>2017</v>
      </c>
      <c r="D25" s="1068"/>
      <c r="E25" s="1068"/>
      <c r="F25" s="1209"/>
      <c r="G25" s="1209"/>
      <c r="H25" s="1209"/>
    </row>
    <row customHeight="1" ht="27">
      <c r="A26" s="1068" t="s">
        <v>2018</v>
      </c>
      <c r="B26" s="1068"/>
      <c r="C26" s="1207" t="s">
        <v>2019</v>
      </c>
      <c r="D26" s="1068"/>
      <c r="E26" s="1068"/>
      <c r="F26" s="1209"/>
      <c r="G26" s="1209"/>
      <c r="H26" s="1209"/>
    </row>
    <row customHeight="1" ht="36">
      <c r="A27" s="1068" t="s">
        <v>2020</v>
      </c>
      <c r="B27" s="1068"/>
      <c r="C27" s="1207" t="s">
        <v>2021</v>
      </c>
      <c r="D27" s="1068"/>
      <c r="E27" s="1068"/>
      <c r="F27" s="1209"/>
      <c r="G27" s="1209"/>
      <c r="H27" s="1209"/>
    </row>
    <row customHeight="1" ht="28.5">
      <c r="A28" s="1068" t="s">
        <v>2022</v>
      </c>
      <c r="B28" s="1068"/>
      <c r="C28" s="1207" t="s">
        <v>2023</v>
      </c>
      <c r="D28" s="1068"/>
      <c r="E28" s="1068"/>
      <c r="F28" s="1209"/>
      <c r="G28" s="1209"/>
      <c r="H28" s="1209"/>
    </row>
    <row customHeight="1" ht="126">
      <c r="A29" s="1068" t="s">
        <v>2024</v>
      </c>
      <c r="B29" s="1068" t="s">
        <v>1597</v>
      </c>
      <c r="C29" s="1207"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1068" t="s">
        <v>2025</v>
      </c>
      <c r="E29" s="107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209"/>
      <c r="G29" s="1209"/>
      <c r="H29" s="1068" t="s">
        <v>2026</v>
      </c>
    </row>
    <row customHeight="1" ht="36">
      <c r="A30" s="1068" t="s">
        <v>2027</v>
      </c>
      <c r="B30" s="1068"/>
      <c r="C30" s="120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1068" t="s">
        <v>2028</v>
      </c>
      <c r="E30" s="107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209"/>
      <c r="G30" s="1209"/>
      <c r="H30" s="1209"/>
    </row>
    <row customHeight="1" ht="54">
      <c r="A31" s="1068" t="s">
        <v>2029</v>
      </c>
      <c r="B31" s="1068"/>
      <c r="C31" s="1207" t="str">
        <f>IF(TEMPLATE_SPHERE="HEAT",D31,IF(TEMPLATE_SPHERE="TKO",H31,E31))</f>
        <v>Форма 1. Информация об организации, осуществляющей горячее водоснабжение (общая информация)</v>
      </c>
      <c r="D31" s="1068" t="s">
        <v>2030</v>
      </c>
      <c r="E31" s="1071"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209"/>
      <c r="G31" s="1209"/>
      <c r="H31" s="1209"/>
    </row>
    <row customHeight="1" ht="198">
      <c r="A32" s="1068" t="s">
        <v>2031</v>
      </c>
      <c r="B32" s="1068"/>
      <c r="C32" s="1207" t="str">
        <f>IF(TEMPLATE_SPHERE="HEAT",D32,IF(TEMPLATE_SPHERE="TKO",H32,E32))</f>
        <v>Форма 7. Информация об инвестиционных программах организации горячего водоснабжения и отчетах об их исполнении</v>
      </c>
      <c r="D32" s="1068" t="s">
        <v>2032</v>
      </c>
      <c r="E32" s="107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209"/>
      <c r="G32" s="1209"/>
      <c r="H32" s="1068" t="s">
        <v>2033</v>
      </c>
    </row>
    <row customHeight="1" ht="9">
      <c r="A33" s="1068"/>
      <c r="B33" s="1068"/>
      <c r="C33" s="1207"/>
      <c r="D33" s="1068"/>
      <c r="E33" s="1068"/>
      <c r="F33" s="1209"/>
      <c r="G33" s="1209"/>
      <c r="H33" s="1209"/>
    </row>
    <row customHeight="1" ht="9">
      <c r="A34" s="1068"/>
      <c r="B34" s="1068" t="s">
        <v>1534</v>
      </c>
      <c r="C34" s="1207">
        <f>INDEX(TEMPLATE_NAME_FORM_LIST,B34,MATCH(TEMPLATE_SPHERE,TEMPLATE_SPHERE_LIST,0))</f>
        <v>0</v>
      </c>
      <c r="D34" s="1068"/>
      <c r="E34" s="1068"/>
      <c r="F34" s="1209"/>
      <c r="G34" s="1209"/>
      <c r="H34" s="120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D5EEB76-156E-D329-15D2-.71B7498105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22910" width="9.140625"/>
    <col min="3" max="7" style="22954" width="8.00390625" customWidth="1"/>
    <col min="8" max="12" style="22954" width="8.57421875" customWidth="1"/>
    <col min="13" max="14" style="22954" width="27.7109375" customWidth="1"/>
    <col min="15" max="19" style="22954" width="5.140625" customWidth="1"/>
    <col min="20" max="24" style="22954" width="27.7109375" customWidth="1"/>
    <col min="25" max="25" style="22955" width="1.8515625" customWidth="1"/>
    <col min="26" max="26" style="22910" width="27.7109375" customWidth="1"/>
    <col min="27" max="27" style="22956" width="27.7109375" customWidth="1"/>
    <col min="28" max="29" style="22910" width="27.7109375" customWidth="1"/>
    <col min="30" max="30" style="22910" width="3.8515625" customWidth="1"/>
    <col min="31" max="34" style="22910" width="9.140625"/>
  </cols>
  <sheetData>
    <row s="22912" customFormat="1" customHeight="1" ht="18">
      <c r="A1" s="1120"/>
      <c r="B1" s="1120"/>
      <c r="C1" s="1120" t="s">
        <v>2034</v>
      </c>
      <c r="D1" s="1120"/>
      <c r="E1" s="1120"/>
      <c r="F1" s="1120"/>
      <c r="G1" s="1120"/>
      <c r="H1" s="1120" t="s">
        <v>2035</v>
      </c>
      <c r="I1" s="1120"/>
      <c r="J1" s="1120"/>
      <c r="K1" s="1120"/>
      <c r="L1" s="1120"/>
      <c r="M1" s="1120" t="s">
        <v>2036</v>
      </c>
      <c r="N1" s="1120" t="s">
        <v>2037</v>
      </c>
      <c r="O1" s="2709" t="s">
        <v>2038</v>
      </c>
      <c r="P1" s="2709"/>
      <c r="Q1" s="2709"/>
      <c r="R1" s="2709"/>
      <c r="S1" s="2709"/>
      <c r="T1" s="2709" t="s">
        <v>2036</v>
      </c>
      <c r="U1" s="2709"/>
      <c r="V1" s="2709"/>
      <c r="W1" s="2709"/>
      <c r="X1" s="2709"/>
      <c r="Y1" s="1222"/>
      <c r="Z1" s="2709" t="s">
        <v>2039</v>
      </c>
      <c r="AA1" s="2709"/>
      <c r="AB1" s="2709"/>
      <c r="AC1" s="2709"/>
      <c r="AD1" s="2709"/>
    </row>
    <row customHeight="1" ht="18">
      <c r="A2" s="1068"/>
      <c r="B2" s="1068"/>
      <c r="C2" s="1063" t="s">
        <v>828</v>
      </c>
      <c r="D2" s="1063" t="s">
        <v>874</v>
      </c>
      <c r="E2" s="1063" t="s">
        <v>929</v>
      </c>
      <c r="F2" s="1063" t="s">
        <v>915</v>
      </c>
      <c r="G2" s="1063" t="s">
        <v>1644</v>
      </c>
      <c r="H2" s="1065"/>
      <c r="I2" s="1065"/>
      <c r="J2" s="1065"/>
      <c r="K2" s="1065"/>
      <c r="L2" s="1065"/>
      <c r="M2" s="1065"/>
      <c r="N2" s="1065"/>
      <c r="O2" s="1063" t="s">
        <v>828</v>
      </c>
      <c r="P2" s="1063" t="s">
        <v>874</v>
      </c>
      <c r="Q2" s="1063" t="s">
        <v>915</v>
      </c>
      <c r="R2" s="1063" t="s">
        <v>929</v>
      </c>
      <c r="S2" s="1063" t="s">
        <v>1644</v>
      </c>
      <c r="T2" s="1063" t="s">
        <v>828</v>
      </c>
      <c r="U2" s="1063" t="s">
        <v>874</v>
      </c>
      <c r="V2" s="1063" t="s">
        <v>915</v>
      </c>
      <c r="W2" s="1063" t="s">
        <v>929</v>
      </c>
      <c r="X2" s="1063" t="s">
        <v>1644</v>
      </c>
      <c r="Y2" s="1063"/>
      <c r="Z2" s="1063" t="s">
        <v>828</v>
      </c>
      <c r="AA2" s="1072" t="s">
        <v>874</v>
      </c>
      <c r="AB2" s="1063" t="s">
        <v>915</v>
      </c>
      <c r="AC2" s="1063" t="s">
        <v>929</v>
      </c>
      <c r="AD2" s="1063" t="s">
        <v>1644</v>
      </c>
    </row>
    <row customHeight="1" ht="162">
      <c r="A3" s="1067" t="s">
        <v>22</v>
      </c>
      <c r="B3" s="1067"/>
      <c r="C3" s="2713" t="s">
        <v>2040</v>
      </c>
      <c r="D3" s="2714"/>
      <c r="E3" s="2714"/>
      <c r="F3" s="2715"/>
      <c r="G3" s="1065"/>
      <c r="H3" s="1065"/>
      <c r="I3" s="1065"/>
      <c r="J3" s="1065"/>
      <c r="K3" s="1065"/>
      <c r="L3" s="1065"/>
      <c r="M3" s="1065"/>
      <c r="N3" s="1066"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1065"/>
      <c r="P3" s="1065"/>
      <c r="Q3" s="1065"/>
      <c r="R3" s="1065"/>
      <c r="S3" s="1065"/>
      <c r="T3" s="1065"/>
      <c r="U3" s="1065"/>
      <c r="V3" s="1065"/>
      <c r="W3" s="1065"/>
      <c r="X3" s="1065"/>
      <c r="Y3" s="1223"/>
      <c r="Z3" s="1068" t="s">
        <v>2041</v>
      </c>
      <c r="AA3" s="1065" t="s">
        <v>2042</v>
      </c>
      <c r="AB3" s="1068" t="s">
        <v>2043</v>
      </c>
      <c r="AC3" s="1068" t="s">
        <v>2044</v>
      </c>
      <c r="AD3" s="1068"/>
      <c r="AG3" s="1068"/>
      <c r="AH3" s="1068"/>
    </row>
    <row customHeight="1" ht="9">
      <c r="A4" s="1067"/>
      <c r="B4" s="1067"/>
      <c r="C4" s="1065"/>
      <c r="D4" s="1065"/>
      <c r="E4" s="1065"/>
      <c r="F4" s="1065"/>
      <c r="G4" s="1065"/>
      <c r="H4" s="1065"/>
      <c r="I4" s="1065"/>
      <c r="J4" s="1065"/>
      <c r="K4" s="1065"/>
      <c r="L4" s="1065"/>
      <c r="M4" s="1065"/>
      <c r="N4" s="1065"/>
      <c r="O4" s="1065"/>
      <c r="P4" s="1065"/>
      <c r="Q4" s="1065"/>
      <c r="R4" s="1065"/>
      <c r="S4" s="1065"/>
      <c r="T4" s="1065"/>
      <c r="U4" s="1065"/>
      <c r="V4" s="1065"/>
      <c r="W4" s="1065"/>
      <c r="X4" s="1065"/>
      <c r="Y4" s="1223"/>
      <c r="Z4" s="1068"/>
      <c r="AA4" s="1071"/>
      <c r="AB4" s="1068"/>
      <c r="AC4" s="1068"/>
      <c r="AD4" s="1068"/>
    </row>
    <row customHeight="1" ht="9">
      <c r="A5" s="1067"/>
      <c r="B5" s="1067"/>
      <c r="C5" s="1065"/>
      <c r="D5" s="1065"/>
      <c r="E5" s="1065"/>
      <c r="F5" s="1065"/>
      <c r="G5" s="1065"/>
      <c r="H5" s="1065"/>
      <c r="I5" s="1065"/>
      <c r="J5" s="1065"/>
      <c r="K5" s="1065"/>
      <c r="L5" s="1065"/>
      <c r="M5" s="1065"/>
      <c r="N5" s="1065"/>
      <c r="O5" s="1065"/>
      <c r="P5" s="1065"/>
      <c r="Q5" s="1065"/>
      <c r="R5" s="1065"/>
      <c r="S5" s="1065"/>
      <c r="T5" s="1065"/>
      <c r="U5" s="1065"/>
      <c r="V5" s="1065"/>
      <c r="W5" s="1065"/>
      <c r="X5" s="1065"/>
      <c r="Y5" s="1223"/>
      <c r="Z5" s="1068"/>
      <c r="AA5" s="1071"/>
      <c r="AB5" s="1068"/>
      <c r="AC5" s="1068"/>
      <c r="AD5" s="1068"/>
    </row>
    <row customHeight="1" ht="9">
      <c r="A6" s="1067"/>
      <c r="B6" s="1067"/>
      <c r="C6" s="1065"/>
      <c r="D6" s="1065"/>
      <c r="E6" s="1065"/>
      <c r="F6" s="1065"/>
      <c r="G6" s="1065"/>
      <c r="H6" s="1065"/>
      <c r="I6" s="1065"/>
      <c r="J6" s="1065"/>
      <c r="K6" s="1065"/>
      <c r="L6" s="1065"/>
      <c r="M6" s="1065"/>
      <c r="N6" s="1065"/>
      <c r="O6" s="1065"/>
      <c r="P6" s="1065"/>
      <c r="Q6" s="1065"/>
      <c r="R6" s="1065"/>
      <c r="S6" s="1065"/>
      <c r="T6" s="1065"/>
      <c r="U6" s="1065"/>
      <c r="V6" s="1065"/>
      <c r="W6" s="1065"/>
      <c r="X6" s="1065"/>
      <c r="Y6" s="1223"/>
      <c r="Z6" s="1068"/>
      <c r="AA6" s="1071"/>
      <c r="AB6" s="1068"/>
      <c r="AC6" s="1068"/>
      <c r="AD6" s="1068"/>
    </row>
    <row customHeight="1" ht="9">
      <c r="A7" s="1067"/>
      <c r="B7" s="1067"/>
      <c r="C7" s="1065"/>
      <c r="D7" s="1065"/>
      <c r="E7" s="1065"/>
      <c r="F7" s="1065"/>
      <c r="G7" s="1065"/>
      <c r="H7" s="1065"/>
      <c r="I7" s="1065"/>
      <c r="J7" s="1065"/>
      <c r="K7" s="1065"/>
      <c r="L7" s="1065"/>
      <c r="M7" s="1065"/>
      <c r="N7" s="1065"/>
      <c r="O7" s="1065"/>
      <c r="P7" s="1065"/>
      <c r="Q7" s="1065"/>
      <c r="R7" s="1065"/>
      <c r="S7" s="1065"/>
      <c r="T7" s="1065"/>
      <c r="U7" s="1065"/>
      <c r="V7" s="1065"/>
      <c r="W7" s="1065"/>
      <c r="X7" s="1065"/>
      <c r="Y7" s="1223"/>
      <c r="Z7" s="1068"/>
      <c r="AA7" s="1071"/>
      <c r="AB7" s="1068"/>
      <c r="AC7" s="1068"/>
      <c r="AD7" s="1068"/>
    </row>
    <row customHeight="1" ht="9">
      <c r="A8" s="1067"/>
      <c r="B8" s="1067"/>
      <c r="C8" s="1065"/>
      <c r="D8" s="1065"/>
      <c r="E8" s="1065"/>
      <c r="F8" s="1065"/>
      <c r="G8" s="1065"/>
      <c r="H8" s="1065"/>
      <c r="I8" s="1065"/>
      <c r="J8" s="1065"/>
      <c r="K8" s="1065"/>
      <c r="L8" s="1065"/>
      <c r="M8" s="1065"/>
      <c r="N8" s="1065"/>
      <c r="O8" s="1065"/>
      <c r="P8" s="1065"/>
      <c r="Q8" s="1065"/>
      <c r="R8" s="1065"/>
      <c r="S8" s="1065"/>
      <c r="T8" s="1065"/>
      <c r="U8" s="1065"/>
      <c r="V8" s="1065"/>
      <c r="W8" s="1065"/>
      <c r="X8" s="1065"/>
      <c r="Y8" s="1223"/>
      <c r="Z8" s="1068"/>
      <c r="AA8" s="1071"/>
      <c r="AB8" s="1068"/>
      <c r="AC8" s="1068"/>
      <c r="AD8" s="1068"/>
    </row>
    <row customHeight="1" ht="9">
      <c r="A9" s="1067"/>
      <c r="B9" s="1067"/>
      <c r="C9" s="1065"/>
      <c r="D9" s="1065"/>
      <c r="E9" s="1065"/>
      <c r="F9" s="1065"/>
      <c r="G9" s="1065"/>
      <c r="H9" s="1065"/>
      <c r="I9" s="1065"/>
      <c r="J9" s="1065"/>
      <c r="K9" s="1065"/>
      <c r="L9" s="1065"/>
      <c r="M9" s="1065"/>
      <c r="N9" s="1065"/>
      <c r="O9" s="1065"/>
      <c r="P9" s="1065"/>
      <c r="Q9" s="1065"/>
      <c r="R9" s="1065"/>
      <c r="S9" s="1065"/>
      <c r="T9" s="1065"/>
      <c r="U9" s="1065"/>
      <c r="V9" s="1065"/>
      <c r="W9" s="1065"/>
      <c r="X9" s="1065"/>
      <c r="Y9" s="1223"/>
      <c r="Z9" s="1068"/>
      <c r="AA9" s="1071"/>
      <c r="AB9" s="1068"/>
      <c r="AC9" s="1068"/>
      <c r="AD9" s="1068"/>
    </row>
    <row customHeight="1" ht="9">
      <c r="A10" s="1121"/>
      <c r="B10" s="1121"/>
      <c r="C10" s="1121"/>
      <c r="D10" s="1121"/>
      <c r="E10" s="1121"/>
      <c r="F10" s="1121"/>
      <c r="G10" s="1121"/>
      <c r="H10" s="1121"/>
      <c r="I10" s="1121"/>
      <c r="J10" s="1121"/>
      <c r="K10" s="1121"/>
      <c r="L10" s="1121"/>
      <c r="M10" s="1121"/>
      <c r="N10" s="1121"/>
      <c r="O10" s="1121"/>
      <c r="P10" s="1121"/>
      <c r="Q10" s="1121"/>
      <c r="R10" s="1121"/>
      <c r="S10" s="1121"/>
      <c r="T10" s="1121"/>
      <c r="U10" s="1121"/>
      <c r="V10" s="1121"/>
      <c r="W10" s="1121"/>
      <c r="X10" s="1121"/>
      <c r="Y10" s="1121"/>
      <c r="Z10" s="1121"/>
      <c r="AA10" s="1121"/>
      <c r="AB10" s="1121"/>
      <c r="AC10" s="1121"/>
      <c r="AD10" s="1121"/>
    </row>
    <row customHeight="1" ht="45">
      <c r="A11" s="2710" t="s">
        <v>29</v>
      </c>
      <c r="B11" s="1121">
        <v>1</v>
      </c>
      <c r="C11" s="2716" t="s">
        <v>1584</v>
      </c>
      <c r="D11" s="2716" t="s">
        <v>1580</v>
      </c>
      <c r="E11" s="2716" t="s">
        <v>1677</v>
      </c>
      <c r="F11" s="2716" t="s">
        <v>2045</v>
      </c>
      <c r="G11" s="2716"/>
      <c r="H11" s="1120" t="s">
        <v>2046</v>
      </c>
      <c r="I11" s="1120"/>
      <c r="J11" s="1120"/>
      <c r="K11" s="1120"/>
      <c r="L11" s="1120"/>
      <c r="M11" s="1066" t="str">
        <f>IF(TEMPLATE_SPHERE="HEAT",T11,U11)</f>
        <v>Количество поданных заявлений </v>
      </c>
      <c r="N11" s="106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1065"/>
      <c r="P11" s="1065"/>
      <c r="Q11" s="1065"/>
      <c r="R11" s="1065"/>
      <c r="S11" s="1065"/>
      <c r="T11" s="1065" t="s">
        <v>2047</v>
      </c>
      <c r="U11" s="1065" t="s">
        <v>2048</v>
      </c>
      <c r="V11" s="1065"/>
      <c r="W11" s="1065"/>
      <c r="X11" s="1065"/>
      <c r="Y11" s="1223"/>
      <c r="Z11" s="1068" t="s">
        <v>2049</v>
      </c>
      <c r="AA11" s="107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1068"/>
      <c r="AC11" s="1068"/>
      <c r="AD11" s="1068"/>
    </row>
    <row customHeight="1" ht="45">
      <c r="A12" s="2710"/>
      <c r="B12" s="1121">
        <v>2</v>
      </c>
      <c r="C12" s="2717"/>
      <c r="D12" s="2717"/>
      <c r="E12" s="2717"/>
      <c r="F12" s="2717"/>
      <c r="G12" s="2717"/>
      <c r="H12" s="1120" t="s">
        <v>2050</v>
      </c>
      <c r="I12" s="1120"/>
      <c r="J12" s="1120"/>
      <c r="K12" s="1120"/>
      <c r="L12" s="1120"/>
      <c r="M12" s="1066" t="str">
        <f>IF(TEMPLATE_SPHERE="HEAT",T12,U12)</f>
        <v>Количество исполненных заявлений </v>
      </c>
      <c r="N12" s="106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1065"/>
      <c r="P12" s="1065"/>
      <c r="Q12" s="1065"/>
      <c r="R12" s="1065"/>
      <c r="S12" s="1065"/>
      <c r="T12" s="1065" t="s">
        <v>2051</v>
      </c>
      <c r="U12" s="1065" t="s">
        <v>2052</v>
      </c>
      <c r="V12" s="1065"/>
      <c r="W12" s="1065"/>
      <c r="X12" s="1065"/>
      <c r="Y12" s="1223"/>
      <c r="Z12" s="1068" t="s">
        <v>2053</v>
      </c>
      <c r="AA12" s="107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1068"/>
      <c r="AC12" s="1068"/>
      <c r="AD12" s="1068"/>
    </row>
    <row customHeight="1" ht="72">
      <c r="A13" s="2710"/>
      <c r="B13" s="1121">
        <v>3</v>
      </c>
      <c r="C13" s="2717"/>
      <c r="D13" s="2717"/>
      <c r="E13" s="2717"/>
      <c r="F13" s="2717"/>
      <c r="G13" s="2717"/>
      <c r="H13" s="2709" t="s">
        <v>2054</v>
      </c>
      <c r="I13" s="1120"/>
      <c r="J13" s="1120"/>
      <c r="K13" s="1120"/>
      <c r="L13" s="1120"/>
      <c r="M13" s="106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6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1065"/>
      <c r="P13" s="1066"/>
      <c r="Q13" s="1066"/>
      <c r="R13" s="1066"/>
      <c r="S13" s="1065"/>
      <c r="T13" s="1065" t="s">
        <v>2055</v>
      </c>
      <c r="U13" s="1066" t="s">
        <v>2056</v>
      </c>
      <c r="V13" s="1066"/>
      <c r="W13" s="1066"/>
      <c r="X13" s="1065"/>
      <c r="Y13" s="1223"/>
      <c r="Z13" s="1068" t="s">
        <v>2057</v>
      </c>
      <c r="AA13" s="107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1068"/>
      <c r="AC13" s="1068"/>
      <c r="AD13" s="1068"/>
    </row>
    <row customHeight="1" ht="45">
      <c r="A14" s="2710"/>
      <c r="B14" s="1121">
        <v>4</v>
      </c>
      <c r="C14" s="2717"/>
      <c r="D14" s="2717"/>
      <c r="E14" s="2717"/>
      <c r="F14" s="2717"/>
      <c r="G14" s="2717"/>
      <c r="H14" s="2709"/>
      <c r="I14" s="1123"/>
      <c r="J14" s="1123"/>
      <c r="K14" s="1123"/>
      <c r="L14" s="1123"/>
      <c r="M14" s="1069"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106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65"/>
      <c r="P14" s="1066"/>
      <c r="Q14" s="1066"/>
      <c r="R14" s="1066"/>
      <c r="S14" s="1065"/>
      <c r="T14" s="1065" t="s">
        <v>2058</v>
      </c>
      <c r="U14" s="106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1066"/>
      <c r="W14" s="1066"/>
      <c r="X14" s="1065"/>
      <c r="Y14" s="1223"/>
      <c r="Z14" s="1068" t="s">
        <v>2059</v>
      </c>
      <c r="AA14" s="1071" t="s">
        <v>2059</v>
      </c>
      <c r="AB14" s="1068"/>
      <c r="AC14" s="1068"/>
      <c r="AD14" s="1068"/>
    </row>
    <row customHeight="1" ht="108">
      <c r="A15" s="2710"/>
      <c r="B15" s="1121">
        <v>5</v>
      </c>
      <c r="C15" s="2717"/>
      <c r="D15" s="2717"/>
      <c r="E15" s="2717"/>
      <c r="F15" s="2717"/>
      <c r="G15" s="2717"/>
      <c r="H15" s="2711" t="s">
        <v>2060</v>
      </c>
      <c r="I15" s="1122"/>
      <c r="J15" s="1122"/>
      <c r="K15" s="1122"/>
      <c r="L15" s="1122"/>
      <c r="M15" s="1071"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1070"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1065"/>
      <c r="P15" s="1066"/>
      <c r="Q15" s="1066"/>
      <c r="R15" s="1066"/>
      <c r="S15" s="1065"/>
      <c r="T15" s="1065" t="s">
        <v>2061</v>
      </c>
      <c r="U15" s="106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1066"/>
      <c r="W15" s="1066"/>
      <c r="X15" s="1065"/>
      <c r="Y15" s="1223"/>
      <c r="Z15" s="1068" t="s">
        <v>2062</v>
      </c>
      <c r="AA15" s="107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1068"/>
      <c r="AC15" s="1068"/>
      <c r="AD15" s="1068"/>
    </row>
    <row customHeight="1" ht="108">
      <c r="A16" s="1121"/>
      <c r="B16" s="1121">
        <v>6</v>
      </c>
      <c r="C16" s="2718"/>
      <c r="D16" s="2718"/>
      <c r="E16" s="2718"/>
      <c r="F16" s="2718"/>
      <c r="G16" s="2718"/>
      <c r="H16" s="2712"/>
      <c r="I16" s="1185"/>
      <c r="J16" s="1185"/>
      <c r="K16" s="1185"/>
      <c r="L16" s="1185"/>
      <c r="M16" s="1114"/>
      <c r="N16" s="1070"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1065"/>
      <c r="P16" s="1066"/>
      <c r="Q16" s="1066"/>
      <c r="R16" s="1066"/>
      <c r="S16" s="1065"/>
      <c r="T16" s="1065"/>
      <c r="U16" s="1066"/>
      <c r="V16" s="1066"/>
      <c r="W16" s="1066"/>
      <c r="X16" s="1065"/>
      <c r="Y16" s="1223"/>
      <c r="Z16" s="1068" t="s">
        <v>2062</v>
      </c>
      <c r="AA16" s="107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1068"/>
      <c r="AC16" s="1068"/>
      <c r="AD16" s="1068"/>
    </row>
    <row customHeight="1" ht="9">
      <c r="A17" s="1121"/>
      <c r="B17" s="1121"/>
      <c r="C17" s="1121">
        <v>22</v>
      </c>
      <c r="D17" s="1121">
        <v>21</v>
      </c>
      <c r="E17" s="1121">
        <v>42</v>
      </c>
      <c r="F17" s="1121">
        <v>63</v>
      </c>
      <c r="G17" s="1121"/>
      <c r="H17" s="1121"/>
      <c r="I17" s="1121"/>
      <c r="J17" s="1121"/>
      <c r="K17" s="1121"/>
      <c r="L17" s="1121"/>
      <c r="M17" s="1121"/>
      <c r="N17" s="1121"/>
      <c r="O17" s="1121"/>
      <c r="P17" s="1121"/>
      <c r="Q17" s="1121"/>
      <c r="R17" s="1121"/>
      <c r="S17" s="1121"/>
      <c r="T17" s="1121"/>
      <c r="U17" s="1121"/>
      <c r="V17" s="1121"/>
      <c r="W17" s="1121"/>
      <c r="X17" s="1121"/>
      <c r="Y17" s="1121"/>
      <c r="Z17" s="1121"/>
      <c r="AA17" s="1121"/>
      <c r="AB17" s="1121"/>
      <c r="AC17" s="1121"/>
      <c r="AD17" s="1121"/>
    </row>
    <row customHeight="1" ht="27">
      <c r="A18" s="1067" t="s">
        <v>1680</v>
      </c>
      <c r="B18" s="1121">
        <v>1</v>
      </c>
      <c r="C18" s="1065" t="s">
        <v>2046</v>
      </c>
      <c r="D18" s="1190" t="s">
        <v>2046</v>
      </c>
      <c r="E18" s="1065" t="s">
        <v>2046</v>
      </c>
      <c r="F18" s="1065" t="s">
        <v>2046</v>
      </c>
      <c r="G18" s="1065"/>
      <c r="H18" s="1225"/>
      <c r="I18" s="1228">
        <f>INDEX(TEMPLATE_NUMBER_POINT_FHD,B18,MATCH(TEMPLATE_SPHERE,TEMPLATE_SPHERE_LIST_FOR_NOTE,0))</f>
        <v>1</v>
      </c>
      <c r="J18" s="1228" t="str">
        <f>INDEX(TEMPLATE_DATA_POINT_FHD,B18,MATCH(TEMPLATE_SPHERE,TEMPLATE_SPHERE_LIST_FOR_NOTE,0))</f>
        <v>Выручка от регулируемых видов деятельности в сфере горячего водоснабжения</v>
      </c>
      <c r="K18" s="1228" t="str">
        <f>INDEX(TEMPLATE_NOTE_POINT_FHD,B18,MATCH(TEMPLATE_SPHERE,TEMPLATE_SPHERE_LIST_FOR_NOTE,0))</f>
        <v>Указывается выручка с распределением по видам деятельности.</v>
      </c>
      <c r="L18" s="1066">
        <f>IF(I18=0,"",I18)</f>
        <v>1</v>
      </c>
      <c r="M18" s="1066" t="str">
        <f>IF(J18=0,"",J18)</f>
        <v>Выручка от регулируемых видов деятельности в сфере горячего водоснабжения</v>
      </c>
      <c r="N18" s="1066" t="str">
        <f>IF(K18=0,"",K18)</f>
        <v>Указывается выручка с распределением по видам деятельности.</v>
      </c>
      <c r="O18" s="1180">
        <v>1</v>
      </c>
      <c r="P18" s="1180">
        <v>1</v>
      </c>
      <c r="Q18" s="1180">
        <v>1</v>
      </c>
      <c r="R18" s="1180">
        <v>1</v>
      </c>
      <c r="S18" s="1180"/>
      <c r="T18" s="1187" t="s">
        <v>2063</v>
      </c>
      <c r="U18" s="1068" t="s">
        <v>2064</v>
      </c>
      <c r="V18" s="1068" t="s">
        <v>2065</v>
      </c>
      <c r="W18" s="1068" t="s">
        <v>2066</v>
      </c>
      <c r="X18" s="1065"/>
      <c r="Y18" s="1223"/>
      <c r="Z18" s="1068" t="s">
        <v>2067</v>
      </c>
      <c r="AA18" s="1071" t="s">
        <v>2068</v>
      </c>
      <c r="AB18" s="1071" t="s">
        <v>2068</v>
      </c>
      <c r="AC18" s="1071" t="s">
        <v>2068</v>
      </c>
      <c r="AD18" s="1068"/>
    </row>
    <row customHeight="1" ht="36">
      <c r="A19" s="1067"/>
      <c r="B19" s="1121">
        <v>2</v>
      </c>
      <c r="C19" s="1065" t="s">
        <v>2050</v>
      </c>
      <c r="D19" s="1190" t="s">
        <v>2050</v>
      </c>
      <c r="E19" s="1065" t="s">
        <v>2050</v>
      </c>
      <c r="F19" s="1065" t="s">
        <v>2050</v>
      </c>
      <c r="G19" s="1065"/>
      <c r="H19" s="1225"/>
      <c r="I19" s="1228">
        <f>INDEX(TEMPLATE_NUMBER_POINT_FHD,B19,MATCH(TEMPLATE_SPHERE,TEMPLATE_SPHERE_LIST_FOR_NOTE,0))</f>
        <v>2</v>
      </c>
      <c r="J19" s="1228"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228" t="str">
        <f>INDEX(TEMPLATE_NOTE_POINT_FHD,B19,MATCH(TEMPLATE_SPHERE,TEMPLATE_SPHERE_LIST_FOR_NOTE,0))</f>
        <v>Указывается суммарная себестоимость производимых товаров.</v>
      </c>
      <c r="L19" s="1066">
        <f>IF(I19=0,"",I19)</f>
        <v>2</v>
      </c>
      <c r="M19" s="1066" t="str">
        <f>IF(J19=0,"",J19)</f>
        <v>Себестоимость производимых товаров (оказываемых услуг) по регулируемым видам деятельности в сфере горячего водоснабжения, включая:</v>
      </c>
      <c r="N19" s="1066" t="str">
        <f>IF(K19=0,"",K19)</f>
        <v>Указывается суммарная себестоимость производимых товаров.</v>
      </c>
      <c r="O19" s="1180">
        <v>2</v>
      </c>
      <c r="P19" s="1180">
        <v>2</v>
      </c>
      <c r="Q19" s="1180">
        <v>2</v>
      </c>
      <c r="R19" s="1180">
        <v>2</v>
      </c>
      <c r="S19" s="1180"/>
      <c r="T19" s="1187" t="s">
        <v>2069</v>
      </c>
      <c r="U19" s="1068" t="s">
        <v>2070</v>
      </c>
      <c r="V19" s="1068" t="s">
        <v>2071</v>
      </c>
      <c r="W19" s="1068" t="s">
        <v>2072</v>
      </c>
      <c r="X19" s="1065"/>
      <c r="Y19" s="1223"/>
      <c r="Z19" s="1068" t="s">
        <v>2073</v>
      </c>
      <c r="AA19" s="1071" t="s">
        <v>2073</v>
      </c>
      <c r="AB19" s="1071" t="s">
        <v>2073</v>
      </c>
      <c r="AC19" s="1071" t="s">
        <v>2073</v>
      </c>
      <c r="AD19" s="1068"/>
    </row>
    <row customHeight="1" ht="27">
      <c r="A20" s="1067"/>
      <c r="B20" s="1121">
        <v>3</v>
      </c>
      <c r="C20" s="1065">
        <v>1</v>
      </c>
      <c r="D20" s="1190"/>
      <c r="E20" s="1065"/>
      <c r="F20" s="1065"/>
      <c r="G20" s="1065"/>
      <c r="H20" s="1225"/>
      <c r="I20" s="1228" t="str">
        <f>INDEX(TEMPLATE_NUMBER_POINT_FHD,B20,MATCH(TEMPLATE_SPHERE,TEMPLATE_SPHERE_LIST_FOR_NOTE,0))</f>
        <v>2.1</v>
      </c>
      <c r="J20" s="1228" t="str">
        <f>INDEX(TEMPLATE_DATA_POINT_FHD,B20,MATCH(TEMPLATE_SPHERE,TEMPLATE_SPHERE_LIST_FOR_NOTE,0))</f>
        <v>Расходы на приобретаемую тепловую энергию (мощность), используемую для горячего водоснабжения</v>
      </c>
      <c r="K20" s="1228">
        <f>INDEX(TEMPLATE_NOTE_POINT_FHD,B20,MATCH(TEMPLATE_SPHERE,TEMPLATE_SPHERE_LIST_FOR_NOTE,0))</f>
        <v>0</v>
      </c>
      <c r="L20" s="1066" t="str">
        <f>IF(I20=0,"",I20)</f>
        <v>2.1</v>
      </c>
      <c r="M20" s="1066" t="str">
        <f>IF(J20=0,"",J20)</f>
        <v>Расходы на приобретаемую тепловую энергию (мощность), используемую для горячего водоснабжения</v>
      </c>
      <c r="N20" s="1066" t="str">
        <f>IF(K20=0,"",K20)</f>
        <v/>
      </c>
      <c r="O20" s="1180" t="s">
        <v>728</v>
      </c>
      <c r="P20" s="1180" t="s">
        <v>728</v>
      </c>
      <c r="Q20" s="1180" t="s">
        <v>728</v>
      </c>
      <c r="R20" s="1180" t="s">
        <v>728</v>
      </c>
      <c r="S20" s="1180"/>
      <c r="T20" s="1187" t="s">
        <v>2074</v>
      </c>
      <c r="U20" s="1068" t="s">
        <v>2075</v>
      </c>
      <c r="V20" s="1068" t="s">
        <v>2076</v>
      </c>
      <c r="W20" s="1068" t="s">
        <v>2077</v>
      </c>
      <c r="X20" s="1065"/>
      <c r="Y20" s="1223"/>
      <c r="Z20" s="1068"/>
      <c r="AA20" s="1071"/>
      <c r="AB20" s="1068"/>
      <c r="AC20" s="1068"/>
      <c r="AD20" s="1068"/>
    </row>
    <row customHeight="1" ht="36">
      <c r="A21" s="1067"/>
      <c r="B21" s="1121">
        <v>4</v>
      </c>
      <c r="C21" s="1065">
        <v>2</v>
      </c>
      <c r="D21" s="1190"/>
      <c r="E21" s="1065"/>
      <c r="F21" s="1065"/>
      <c r="G21" s="1065"/>
      <c r="H21" s="1225"/>
      <c r="I21" s="1228">
        <f>INDEX(TEMPLATE_NUMBER_POINT_FHD,B21,MATCH(TEMPLATE_SPHERE,TEMPLATE_SPHERE_LIST_FOR_NOTE,0))</f>
        <v>0</v>
      </c>
      <c r="J21" s="1228">
        <f>INDEX(TEMPLATE_DATA_POINT_FHD,B21,MATCH(TEMPLATE_SPHERE,TEMPLATE_SPHERE_LIST_FOR_NOTE,0))</f>
        <v>0</v>
      </c>
      <c r="K21" s="1228">
        <f>INDEX(TEMPLATE_NOTE_POINT_FHD,B21,MATCH(TEMPLATE_SPHERE,TEMPLATE_SPHERE_LIST_FOR_NOTE,0))</f>
        <v>0</v>
      </c>
      <c r="L21" s="1066" t="str">
        <f>IF(I21=0,"",I21)</f>
        <v/>
      </c>
      <c r="M21" s="1066" t="str">
        <f>IF(J21=0,"",J21)</f>
        <v/>
      </c>
      <c r="N21" s="1066" t="str">
        <f>IF(K21=0,"",K21)</f>
        <v/>
      </c>
      <c r="O21" s="1180" t="s">
        <v>413</v>
      </c>
      <c r="P21" s="1180"/>
      <c r="Q21" s="1180"/>
      <c r="R21" s="1180"/>
      <c r="S21" s="1180"/>
      <c r="T21" s="1187" t="s">
        <v>2078</v>
      </c>
      <c r="U21" s="1068"/>
      <c r="V21" s="1068"/>
      <c r="W21" s="1068"/>
      <c r="X21" s="1065"/>
      <c r="Y21" s="1223"/>
      <c r="Z21" s="1068" t="s">
        <v>2079</v>
      </c>
      <c r="AA21" s="1071"/>
      <c r="AB21" s="1068"/>
      <c r="AC21" s="1068"/>
      <c r="AD21" s="1068"/>
    </row>
    <row customHeight="1" ht="36">
      <c r="A22" s="1067"/>
      <c r="B22" s="1121">
        <v>5</v>
      </c>
      <c r="C22" s="1065">
        <v>3</v>
      </c>
      <c r="D22" s="1190"/>
      <c r="E22" s="1065"/>
      <c r="F22" s="1065"/>
      <c r="G22" s="1113"/>
      <c r="H22" s="1181"/>
      <c r="I22" s="1228" t="str">
        <f>INDEX(TEMPLATE_NUMBER_POINT_FHD,B22,MATCH(TEMPLATE_SPHERE,TEMPLATE_SPHERE_LIST_FOR_NOTE,0))</f>
        <v>2.2</v>
      </c>
      <c r="J22" s="1228"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228">
        <f>INDEX(TEMPLATE_NOTE_POINT_FHD,B22,MATCH(TEMPLATE_SPHERE,TEMPLATE_SPHERE_LIST_FOR_NOTE,0))</f>
        <v>0</v>
      </c>
      <c r="L22" s="1066" t="str">
        <f>IF(I22=0,"",I22)</f>
        <v>2.2</v>
      </c>
      <c r="M22" s="1066" t="str">
        <f>IF(J22=0,"",J22)</f>
        <v>Расходы на тепловую энергию, производимую с применением собственных источников и используемую для горячего водоснабжения</v>
      </c>
      <c r="N22" s="1066" t="str">
        <f>IF(K22=0,"",K22)</f>
        <v/>
      </c>
      <c r="O22" s="1180"/>
      <c r="P22" s="1180"/>
      <c r="Q22" s="1180" t="s">
        <v>413</v>
      </c>
      <c r="R22" s="1180"/>
      <c r="S22" s="1180"/>
      <c r="T22" s="1187"/>
      <c r="U22" s="1068"/>
      <c r="V22" s="1068" t="s">
        <v>2080</v>
      </c>
      <c r="W22" s="1068"/>
      <c r="X22" s="1065"/>
      <c r="Y22" s="1223"/>
      <c r="Z22" s="1068"/>
      <c r="AA22" s="1071"/>
      <c r="AB22" s="1068"/>
      <c r="AC22" s="1068"/>
      <c r="AD22" s="1068"/>
    </row>
    <row customHeight="1" ht="27">
      <c r="A23" s="1067"/>
      <c r="B23" s="1121">
        <v>6</v>
      </c>
      <c r="C23" s="1065">
        <v>4</v>
      </c>
      <c r="D23" s="1190"/>
      <c r="E23" s="1065"/>
      <c r="F23" s="1065"/>
      <c r="G23" s="1113"/>
      <c r="H23" s="1181"/>
      <c r="I23" s="1228" t="str">
        <f>INDEX(TEMPLATE_NUMBER_POINT_FHD,B23,MATCH(TEMPLATE_SPHERE,TEMPLATE_SPHERE_LIST_FOR_NOTE,0))</f>
        <v>2.3</v>
      </c>
      <c r="J23" s="1228" t="str">
        <f>INDEX(TEMPLATE_DATA_POINT_FHD,B23,MATCH(TEMPLATE_SPHERE,TEMPLATE_SPHERE_LIST_FOR_NOTE,0))</f>
        <v>Расходы на приобретаемую холодную воду, используемую для горячего водоснабжения</v>
      </c>
      <c r="K23" s="1228">
        <f>INDEX(TEMPLATE_NOTE_POINT_FHD,B23,MATCH(TEMPLATE_SPHERE,TEMPLATE_SPHERE_LIST_FOR_NOTE,0))</f>
        <v>0</v>
      </c>
      <c r="L23" s="1066" t="str">
        <f>IF(I23=0,"",I23)</f>
        <v>2.3</v>
      </c>
      <c r="M23" s="1066" t="str">
        <f>IF(J23=0,"",J23)</f>
        <v>Расходы на приобретаемую холодную воду, используемую для горячего водоснабжения</v>
      </c>
      <c r="N23" s="1066" t="str">
        <f>IF(K23=0,"",K23)</f>
        <v/>
      </c>
      <c r="O23" s="1180"/>
      <c r="P23" s="1180"/>
      <c r="Q23" s="1180" t="s">
        <v>416</v>
      </c>
      <c r="R23" s="1180"/>
      <c r="S23" s="1180"/>
      <c r="T23" s="1187"/>
      <c r="U23" s="1068"/>
      <c r="V23" s="1068" t="s">
        <v>2081</v>
      </c>
      <c r="W23" s="1068"/>
      <c r="X23" s="1065"/>
      <c r="Y23" s="1223"/>
      <c r="Z23" s="1068"/>
      <c r="AA23" s="1071"/>
      <c r="AB23" s="1068"/>
      <c r="AC23" s="1068"/>
      <c r="AD23" s="1068"/>
    </row>
    <row customHeight="1" ht="36">
      <c r="A24" s="1067"/>
      <c r="B24" s="1121">
        <v>7</v>
      </c>
      <c r="C24" s="1065">
        <v>5</v>
      </c>
      <c r="D24" s="1190"/>
      <c r="E24" s="1065"/>
      <c r="F24" s="1065"/>
      <c r="G24" s="1113"/>
      <c r="H24" s="1181"/>
      <c r="I24" s="1228" t="str">
        <f>INDEX(TEMPLATE_NUMBER_POINT_FHD,B24,MATCH(TEMPLATE_SPHERE,TEMPLATE_SPHERE_LIST_FOR_NOTE,0))</f>
        <v>2.4</v>
      </c>
      <c r="J24" s="1228"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228">
        <f>INDEX(TEMPLATE_NOTE_POINT_FHD,B24,MATCH(TEMPLATE_SPHERE,TEMPLATE_SPHERE_LIST_FOR_NOTE,0))</f>
        <v>0</v>
      </c>
      <c r="L24" s="1066" t="str">
        <f>IF(I24=0,"",I24)</f>
        <v>2.4</v>
      </c>
      <c r="M24" s="1066"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1066" t="str">
        <f>IF(K24=0,"",K24)</f>
        <v/>
      </c>
      <c r="O24" s="1180"/>
      <c r="P24" s="1180"/>
      <c r="Q24" s="1180" t="s">
        <v>748</v>
      </c>
      <c r="R24" s="1180"/>
      <c r="S24" s="1180"/>
      <c r="T24" s="1187"/>
      <c r="U24" s="1068"/>
      <c r="V24" s="1068" t="s">
        <v>2082</v>
      </c>
      <c r="W24" s="1068"/>
      <c r="X24" s="1065"/>
      <c r="Y24" s="1223"/>
      <c r="Z24" s="1068"/>
      <c r="AA24" s="1071"/>
      <c r="AB24" s="1068"/>
      <c r="AC24" s="1068"/>
      <c r="AD24" s="1068"/>
    </row>
    <row customHeight="1" ht="36">
      <c r="A25" s="1067"/>
      <c r="B25" s="1121">
        <v>8</v>
      </c>
      <c r="C25" s="1065">
        <v>6</v>
      </c>
      <c r="D25" s="1190"/>
      <c r="E25" s="1065"/>
      <c r="F25" s="1065"/>
      <c r="G25" s="1113"/>
      <c r="H25" s="1181"/>
      <c r="I25" s="1228" t="str">
        <f>INDEX(TEMPLATE_NUMBER_POINT_FHD,B25,MATCH(TEMPLATE_SPHERE,TEMPLATE_SPHERE_LIST_FOR_NOTE,0))</f>
        <v>2.5</v>
      </c>
      <c r="J25" s="122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28">
        <f>INDEX(TEMPLATE_NOTE_POINT_FHD,B25,MATCH(TEMPLATE_SPHERE,TEMPLATE_SPHERE_LIST_FOR_NOTE,0))</f>
        <v>0</v>
      </c>
      <c r="L25" s="1066" t="str">
        <f>IF(I25=0,"",I25)</f>
        <v>2.5</v>
      </c>
      <c r="M25" s="1066" t="str">
        <f>IF(J25=0,"",J25)</f>
        <v>Расходы на приобретаемую электрическую энергию (мощность), используемую в технологическом процессе</v>
      </c>
      <c r="N25" s="1066" t="str">
        <f>IF(K25=0,"",K25)</f>
        <v/>
      </c>
      <c r="O25" s="1180" t="s">
        <v>416</v>
      </c>
      <c r="P25" s="1180" t="s">
        <v>413</v>
      </c>
      <c r="Q25" s="1180" t="s">
        <v>755</v>
      </c>
      <c r="R25" s="1180" t="s">
        <v>413</v>
      </c>
      <c r="S25" s="1180"/>
      <c r="T25" s="1187" t="s">
        <v>2083</v>
      </c>
      <c r="U25" s="1068" t="s">
        <v>2083</v>
      </c>
      <c r="V25" s="1068" t="s">
        <v>2083</v>
      </c>
      <c r="W25" s="1068" t="s">
        <v>2083</v>
      </c>
      <c r="X25" s="1065"/>
      <c r="Y25" s="1223"/>
      <c r="Z25" s="1068"/>
      <c r="AA25" s="1071"/>
      <c r="AB25" s="1068"/>
      <c r="AC25" s="1068"/>
      <c r="AD25" s="1068"/>
    </row>
    <row customHeight="1" ht="18">
      <c r="A26" s="1067"/>
      <c r="B26" s="1121">
        <v>9</v>
      </c>
      <c r="C26" s="1065" t="s">
        <v>927</v>
      </c>
      <c r="D26" s="1190"/>
      <c r="E26" s="1065"/>
      <c r="F26" s="1065"/>
      <c r="G26" s="1113"/>
      <c r="H26" s="1181"/>
      <c r="I26" s="1228" t="str">
        <f>INDEX(TEMPLATE_NUMBER_POINT_FHD,B26,MATCH(TEMPLATE_SPHERE,TEMPLATE_SPHERE_LIST_FOR_NOTE,0))</f>
        <v>2.5.1</v>
      </c>
      <c r="J26" s="1228" t="str">
        <f>INDEX(TEMPLATE_DATA_POINT_FHD,B26,MATCH(TEMPLATE_SPHERE,TEMPLATE_SPHERE_LIST_FOR_NOTE,0))</f>
        <v>Средневзвешенная стоимость 1 кВт.ч (с учетом мощности)</v>
      </c>
      <c r="K26" s="1228">
        <f>INDEX(TEMPLATE_NOTE_POINT_FHD,B26,MATCH(TEMPLATE_SPHERE,TEMPLATE_SPHERE_LIST_FOR_NOTE,0))</f>
        <v>0</v>
      </c>
      <c r="L26" s="1066" t="str">
        <f>IF(I26=0,"",I26)</f>
        <v>2.5.1</v>
      </c>
      <c r="M26" s="1066" t="str">
        <f>IF(J26=0,"",J26)</f>
        <v>Средневзвешенная стоимость 1 кВт.ч (с учетом мощности)</v>
      </c>
      <c r="N26" s="1066" t="str">
        <f>IF(K26=0,"",K26)</f>
        <v/>
      </c>
      <c r="O26" s="1180" t="s">
        <v>744</v>
      </c>
      <c r="P26" s="1180" t="s">
        <v>738</v>
      </c>
      <c r="Q26" s="1180" t="s">
        <v>2084</v>
      </c>
      <c r="R26" s="1180" t="s">
        <v>738</v>
      </c>
      <c r="S26" s="1180"/>
      <c r="T26" s="1187" t="s">
        <v>2085</v>
      </c>
      <c r="U26" s="1187" t="s">
        <v>2085</v>
      </c>
      <c r="V26" s="1187" t="s">
        <v>2085</v>
      </c>
      <c r="W26" s="1187" t="s">
        <v>2085</v>
      </c>
      <c r="X26" s="1065"/>
      <c r="Y26" s="1223"/>
      <c r="Z26" s="1068"/>
      <c r="AA26" s="1071"/>
      <c r="AB26" s="1068"/>
      <c r="AC26" s="1068"/>
      <c r="AD26" s="1068"/>
    </row>
    <row customHeight="1" ht="18">
      <c r="A27" s="1067"/>
      <c r="B27" s="1121">
        <v>10</v>
      </c>
      <c r="C27" s="1065" t="s">
        <v>2086</v>
      </c>
      <c r="D27" s="1190"/>
      <c r="E27" s="1065"/>
      <c r="F27" s="1065"/>
      <c r="G27" s="1113"/>
      <c r="H27" s="1181"/>
      <c r="I27" s="1228" t="str">
        <f>INDEX(TEMPLATE_NUMBER_POINT_FHD,B27,MATCH(TEMPLATE_SPHERE,TEMPLATE_SPHERE_LIST_FOR_NOTE,0))</f>
        <v>2.5.2</v>
      </c>
      <c r="J27" s="1228" t="str">
        <f>INDEX(TEMPLATE_DATA_POINT_FHD,B27,MATCH(TEMPLATE_SPHERE,TEMPLATE_SPHERE_LIST_FOR_NOTE,0))</f>
        <v>Объём приобретения электрической энергии</v>
      </c>
      <c r="K27" s="1228">
        <f>INDEX(TEMPLATE_NOTE_POINT_FHD,B27,MATCH(TEMPLATE_SPHERE,TEMPLATE_SPHERE_LIST_FOR_NOTE,0))</f>
        <v>0</v>
      </c>
      <c r="L27" s="1066" t="str">
        <f>IF(I27=0,"",I27)</f>
        <v>2.5.2</v>
      </c>
      <c r="M27" s="1066" t="str">
        <f>IF(J27=0,"",J27)</f>
        <v>Объём приобретения электрической энергии</v>
      </c>
      <c r="N27" s="1066" t="str">
        <f>IF(K27=0,"",K27)</f>
        <v/>
      </c>
      <c r="O27" s="1180" t="s">
        <v>746</v>
      </c>
      <c r="P27" s="1180" t="s">
        <v>740</v>
      </c>
      <c r="Q27" s="1180" t="s">
        <v>2087</v>
      </c>
      <c r="R27" s="1180" t="s">
        <v>740</v>
      </c>
      <c r="S27" s="1180"/>
      <c r="T27" s="1187" t="s">
        <v>2088</v>
      </c>
      <c r="U27" s="1187" t="s">
        <v>2088</v>
      </c>
      <c r="V27" s="1187" t="s">
        <v>2088</v>
      </c>
      <c r="W27" s="1187" t="s">
        <v>2088</v>
      </c>
      <c r="X27" s="1065"/>
      <c r="Y27" s="1223"/>
      <c r="Z27" s="1068"/>
      <c r="AA27" s="1071"/>
      <c r="AB27" s="1068"/>
      <c r="AC27" s="1068"/>
      <c r="AD27" s="1068"/>
    </row>
    <row customHeight="1" ht="27">
      <c r="A28" s="1067"/>
      <c r="B28" s="1121">
        <v>11</v>
      </c>
      <c r="C28" s="1065">
        <v>7</v>
      </c>
      <c r="D28" s="1190"/>
      <c r="E28" s="1065"/>
      <c r="F28" s="1065"/>
      <c r="G28" s="1113"/>
      <c r="H28" s="1181"/>
      <c r="I28" s="1228">
        <f>INDEX(TEMPLATE_NUMBER_POINT_FHD,B28,MATCH(TEMPLATE_SPHERE,TEMPLATE_SPHERE_LIST_FOR_NOTE,0))</f>
        <v>0</v>
      </c>
      <c r="J28" s="1228">
        <f>INDEX(TEMPLATE_DATA_POINT_FHD,B28,MATCH(TEMPLATE_SPHERE,TEMPLATE_SPHERE_LIST_FOR_NOTE,0))</f>
        <v>0</v>
      </c>
      <c r="K28" s="1228">
        <f>INDEX(TEMPLATE_NOTE_POINT_FHD,B28,MATCH(TEMPLATE_SPHERE,TEMPLATE_SPHERE_LIST_FOR_NOTE,0))</f>
        <v>0</v>
      </c>
      <c r="L28" s="1066" t="str">
        <f>IF(I28=0,"",I28)</f>
        <v/>
      </c>
      <c r="M28" s="1066" t="str">
        <f>IF(J28=0,"",J28)</f>
        <v/>
      </c>
      <c r="N28" s="1066" t="str">
        <f>IF(K28=0,"",K28)</f>
        <v/>
      </c>
      <c r="O28" s="1180" t="s">
        <v>748</v>
      </c>
      <c r="P28" s="1180"/>
      <c r="Q28" s="1180"/>
      <c r="R28" s="1180"/>
      <c r="S28" s="1180"/>
      <c r="T28" s="1187" t="s">
        <v>2089</v>
      </c>
      <c r="U28" s="1068"/>
      <c r="V28" s="1068"/>
      <c r="W28" s="1068"/>
      <c r="X28" s="1065"/>
      <c r="Y28" s="1223"/>
      <c r="Z28" s="1068"/>
      <c r="AA28" s="1071"/>
      <c r="AB28" s="1068"/>
      <c r="AC28" s="1068"/>
      <c r="AD28" s="1068"/>
    </row>
    <row customHeight="1" ht="27">
      <c r="A29" s="1067"/>
      <c r="B29" s="1121">
        <v>12</v>
      </c>
      <c r="C29" s="1065">
        <v>8</v>
      </c>
      <c r="D29" s="1190"/>
      <c r="E29" s="1065"/>
      <c r="F29" s="1065"/>
      <c r="G29" s="1113"/>
      <c r="H29" s="1181"/>
      <c r="I29" s="1228">
        <f>INDEX(TEMPLATE_NUMBER_POINT_FHD,B29,MATCH(TEMPLATE_SPHERE,TEMPLATE_SPHERE_LIST_FOR_NOTE,0))</f>
        <v>0</v>
      </c>
      <c r="J29" s="1228">
        <f>INDEX(TEMPLATE_DATA_POINT_FHD,B29,MATCH(TEMPLATE_SPHERE,TEMPLATE_SPHERE_LIST_FOR_NOTE,0))</f>
        <v>0</v>
      </c>
      <c r="K29" s="1228">
        <f>INDEX(TEMPLATE_NOTE_POINT_FHD,B29,MATCH(TEMPLATE_SPHERE,TEMPLATE_SPHERE_LIST_FOR_NOTE,0))</f>
        <v>0</v>
      </c>
      <c r="L29" s="1066" t="str">
        <f>IF(I29=0,"",I29)</f>
        <v/>
      </c>
      <c r="M29" s="1066" t="str">
        <f>IF(J29=0,"",J29)</f>
        <v/>
      </c>
      <c r="N29" s="1066" t="str">
        <f>IF(K29=0,"",K29)</f>
        <v/>
      </c>
      <c r="O29" s="1180" t="s">
        <v>755</v>
      </c>
      <c r="P29" s="1180" t="s">
        <v>416</v>
      </c>
      <c r="Q29" s="1180"/>
      <c r="R29" s="1180" t="s">
        <v>416</v>
      </c>
      <c r="S29" s="1180"/>
      <c r="T29" s="1187" t="s">
        <v>2090</v>
      </c>
      <c r="U29" s="1068" t="s">
        <v>2090</v>
      </c>
      <c r="V29" s="1068"/>
      <c r="W29" s="1068" t="s">
        <v>2090</v>
      </c>
      <c r="X29" s="1065"/>
      <c r="Y29" s="1223"/>
      <c r="Z29" s="1068"/>
      <c r="AA29" s="1071"/>
      <c r="AB29" s="1068"/>
      <c r="AC29" s="1068"/>
      <c r="AD29" s="1068"/>
    </row>
    <row customHeight="1" ht="54">
      <c r="A30" s="1067"/>
      <c r="B30" s="1121">
        <v>13</v>
      </c>
      <c r="C30" s="1065">
        <v>9</v>
      </c>
      <c r="D30" s="1190"/>
      <c r="E30" s="1065"/>
      <c r="F30" s="1065"/>
      <c r="G30" s="1113"/>
      <c r="H30" s="1181"/>
      <c r="I30" s="1228" t="str">
        <f>INDEX(TEMPLATE_NUMBER_POINT_FHD,B30,MATCH(TEMPLATE_SPHERE,TEMPLATE_SPHERE_LIST_FOR_NOTE,0))</f>
        <v>2.6</v>
      </c>
      <c r="J30" s="122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2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66" t="str">
        <f>IF(I30=0,"",I30)</f>
        <v>2.6</v>
      </c>
      <c r="M30" s="106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66" t="str">
        <f>IF(K30=0,"",K30)</f>
        <v>Указывается общая сумма расходов на оплату труда и отчислений на социальные нужды основного производственного персонала.</v>
      </c>
      <c r="O30" s="1180" t="s">
        <v>757</v>
      </c>
      <c r="P30" s="1180" t="s">
        <v>748</v>
      </c>
      <c r="Q30" s="1180" t="s">
        <v>757</v>
      </c>
      <c r="R30" s="1180" t="s">
        <v>748</v>
      </c>
      <c r="S30" s="1180"/>
      <c r="T30" s="1187" t="s">
        <v>2091</v>
      </c>
      <c r="U30" s="1068" t="s">
        <v>2091</v>
      </c>
      <c r="V30" s="1068" t="s">
        <v>2091</v>
      </c>
      <c r="W30" s="1068" t="s">
        <v>2091</v>
      </c>
      <c r="X30" s="1065"/>
      <c r="Y30" s="1223"/>
      <c r="Z30" s="1068"/>
      <c r="AA30" s="1071" t="s">
        <v>2092</v>
      </c>
      <c r="AB30" s="1071" t="s">
        <v>2092</v>
      </c>
      <c r="AC30" s="1071" t="s">
        <v>2092</v>
      </c>
      <c r="AD30" s="1068"/>
    </row>
    <row customHeight="1" ht="18">
      <c r="A31" s="1067"/>
      <c r="B31" s="1121">
        <v>14</v>
      </c>
      <c r="C31" s="1065" t="s">
        <v>2093</v>
      </c>
      <c r="D31" s="1190"/>
      <c r="E31" s="1065"/>
      <c r="F31" s="1065"/>
      <c r="G31" s="1113"/>
      <c r="H31" s="1181"/>
      <c r="I31" s="1228" t="str">
        <f>INDEX(TEMPLATE_NUMBER_POINT_FHD,B31,MATCH(TEMPLATE_SPHERE,TEMPLATE_SPHERE_LIST_FOR_NOTE,0))</f>
        <v>2.6.1</v>
      </c>
      <c r="J31" s="1228" t="str">
        <f>INDEX(TEMPLATE_DATA_POINT_FHD,B31,MATCH(TEMPLATE_SPHERE,TEMPLATE_SPHERE_LIST_FOR_NOTE,0))</f>
        <v>Расходы на оплату труда основного производственного персонала</v>
      </c>
      <c r="K31" s="1228">
        <f>INDEX(TEMPLATE_NOTE_POINT_FHD,B31,MATCH(TEMPLATE_SPHERE,TEMPLATE_SPHERE_LIST_FOR_NOTE,0))</f>
        <v>0</v>
      </c>
      <c r="L31" s="1066" t="str">
        <f>IF(I31=0,"",I31)</f>
        <v>2.6.1</v>
      </c>
      <c r="M31" s="1066" t="str">
        <f>IF(J31=0,"",J31)</f>
        <v>Расходы на оплату труда основного производственного персонала</v>
      </c>
      <c r="N31" s="1066" t="str">
        <f>IF(K31=0,"",K31)</f>
        <v/>
      </c>
      <c r="O31" s="1180" t="s">
        <v>2094</v>
      </c>
      <c r="P31" s="1180" t="s">
        <v>751</v>
      </c>
      <c r="Q31" s="1180" t="s">
        <v>2094</v>
      </c>
      <c r="R31" s="1180" t="s">
        <v>751</v>
      </c>
      <c r="S31" s="1180"/>
      <c r="T31" s="1188" t="s">
        <v>2095</v>
      </c>
      <c r="U31" s="1068" t="s">
        <v>2095</v>
      </c>
      <c r="V31" s="1068" t="s">
        <v>2095</v>
      </c>
      <c r="W31" s="1068" t="s">
        <v>2095</v>
      </c>
      <c r="X31" s="1065"/>
      <c r="Y31" s="1223"/>
      <c r="Z31" s="1068"/>
      <c r="AA31" s="1071"/>
      <c r="AB31" s="1071"/>
      <c r="AC31" s="1071"/>
      <c r="AD31" s="1068"/>
    </row>
    <row customHeight="1" ht="36">
      <c r="A32" s="1067"/>
      <c r="B32" s="1121">
        <v>15</v>
      </c>
      <c r="C32" s="1065" t="s">
        <v>2096</v>
      </c>
      <c r="D32" s="1190"/>
      <c r="E32" s="1065"/>
      <c r="F32" s="1065"/>
      <c r="G32" s="1113"/>
      <c r="H32" s="1181"/>
      <c r="I32" s="1228" t="str">
        <f>INDEX(TEMPLATE_NUMBER_POINT_FHD,B32,MATCH(TEMPLATE_SPHERE,TEMPLATE_SPHERE_LIST_FOR_NOTE,0))</f>
        <v>2.6.2</v>
      </c>
      <c r="J32" s="122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28">
        <f>INDEX(TEMPLATE_NOTE_POINT_FHD,B32,MATCH(TEMPLATE_SPHERE,TEMPLATE_SPHERE_LIST_FOR_NOTE,0))</f>
        <v>0</v>
      </c>
      <c r="L32" s="1066" t="str">
        <f>IF(I32=0,"",I32)</f>
        <v>2.6.2</v>
      </c>
      <c r="M32" s="1066" t="str">
        <f>IF(J32=0,"",J32)</f>
        <v>Страховые взносы на обязательное социальное страхование, выплачиваемые из фонда оплаты труда основного производственного персонала</v>
      </c>
      <c r="N32" s="1066" t="str">
        <f>IF(K32=0,"",K32)</f>
        <v/>
      </c>
      <c r="O32" s="1180" t="s">
        <v>2097</v>
      </c>
      <c r="P32" s="1180" t="s">
        <v>753</v>
      </c>
      <c r="Q32" s="1180" t="s">
        <v>2097</v>
      </c>
      <c r="R32" s="1180" t="s">
        <v>753</v>
      </c>
      <c r="S32" s="1180"/>
      <c r="T32" s="1189" t="s">
        <v>2098</v>
      </c>
      <c r="U32" s="1068" t="s">
        <v>2098</v>
      </c>
      <c r="V32" s="1068" t="s">
        <v>2098</v>
      </c>
      <c r="W32" s="1068" t="s">
        <v>2098</v>
      </c>
      <c r="X32" s="1065"/>
      <c r="Y32" s="1223"/>
      <c r="Z32" s="1068"/>
      <c r="AA32" s="1071"/>
      <c r="AB32" s="1071"/>
      <c r="AC32" s="1071"/>
      <c r="AD32" s="1068"/>
    </row>
    <row customHeight="1" ht="45">
      <c r="A33" s="1067"/>
      <c r="B33" s="1121">
        <v>16</v>
      </c>
      <c r="C33" s="1065">
        <v>10</v>
      </c>
      <c r="D33" s="1190"/>
      <c r="E33" s="1065"/>
      <c r="F33" s="1065"/>
      <c r="G33" s="1113"/>
      <c r="H33" s="1181"/>
      <c r="I33" s="1228" t="str">
        <f>INDEX(TEMPLATE_NUMBER_POINT_FHD,B33,MATCH(TEMPLATE_SPHERE,TEMPLATE_SPHERE_LIST_FOR_NOTE,0))</f>
        <v>2.7</v>
      </c>
      <c r="J33" s="122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2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66" t="str">
        <f>IF(I33=0,"",I33)</f>
        <v>2.7</v>
      </c>
      <c r="M33" s="106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66" t="str">
        <f>IF(K33=0,"",K33)</f>
        <v>Указывается общая сумма расходов на оплату труда и отчислений на социальные нужды административно-управленческого персонала.</v>
      </c>
      <c r="O33" s="1180" t="s">
        <v>759</v>
      </c>
      <c r="P33" s="1180" t="s">
        <v>755</v>
      </c>
      <c r="Q33" s="1180" t="s">
        <v>759</v>
      </c>
      <c r="R33" s="1180" t="s">
        <v>755</v>
      </c>
      <c r="S33" s="1180"/>
      <c r="T33" s="1188" t="s">
        <v>2099</v>
      </c>
      <c r="U33" s="1068" t="s">
        <v>2099</v>
      </c>
      <c r="V33" s="1068" t="s">
        <v>2099</v>
      </c>
      <c r="W33" s="1068" t="s">
        <v>2100</v>
      </c>
      <c r="X33" s="1065"/>
      <c r="Y33" s="1223"/>
      <c r="Z33" s="1068"/>
      <c r="AA33" s="1071" t="s">
        <v>2101</v>
      </c>
      <c r="AB33" s="1071" t="s">
        <v>2101</v>
      </c>
      <c r="AC33" s="1071" t="s">
        <v>2101</v>
      </c>
      <c r="AD33" s="1068"/>
    </row>
    <row customHeight="1" ht="27">
      <c r="A34" s="1067"/>
      <c r="B34" s="1121">
        <v>17</v>
      </c>
      <c r="C34" s="1065" t="s">
        <v>2102</v>
      </c>
      <c r="D34" s="1190"/>
      <c r="E34" s="1065"/>
      <c r="F34" s="1065"/>
      <c r="G34" s="1113"/>
      <c r="H34" s="1181"/>
      <c r="I34" s="1228" t="str">
        <f>INDEX(TEMPLATE_NUMBER_POINT_FHD,B34,MATCH(TEMPLATE_SPHERE,TEMPLATE_SPHERE_LIST_FOR_NOTE,0))</f>
        <v>2.7.1</v>
      </c>
      <c r="J34" s="1228" t="str">
        <f>INDEX(TEMPLATE_DATA_POINT_FHD,B34,MATCH(TEMPLATE_SPHERE,TEMPLATE_SPHERE_LIST_FOR_NOTE,0))</f>
        <v>Расходы на оплату труда административно-управленческого персонала</v>
      </c>
      <c r="K34" s="1228">
        <f>INDEX(TEMPLATE_NOTE_POINT_FHD,B34,MATCH(TEMPLATE_SPHERE,TEMPLATE_SPHERE_LIST_FOR_NOTE,0))</f>
        <v>0</v>
      </c>
      <c r="L34" s="1066" t="str">
        <f>IF(I34=0,"",I34)</f>
        <v>2.7.1</v>
      </c>
      <c r="M34" s="1066" t="str">
        <f>IF(J34=0,"",J34)</f>
        <v>Расходы на оплату труда административно-управленческого персонала</v>
      </c>
      <c r="N34" s="1066" t="str">
        <f>IF(K34=0,"",K34)</f>
        <v/>
      </c>
      <c r="O34" s="1180" t="s">
        <v>2103</v>
      </c>
      <c r="P34" s="1180" t="s">
        <v>2084</v>
      </c>
      <c r="Q34" s="1180" t="s">
        <v>2103</v>
      </c>
      <c r="R34" s="1180" t="s">
        <v>2084</v>
      </c>
      <c r="S34" s="1180"/>
      <c r="T34" s="1189" t="s">
        <v>2104</v>
      </c>
      <c r="U34" s="1068" t="s">
        <v>2104</v>
      </c>
      <c r="V34" s="1068" t="s">
        <v>2104</v>
      </c>
      <c r="W34" s="1068" t="s">
        <v>2105</v>
      </c>
      <c r="X34" s="1065"/>
      <c r="Y34" s="1223"/>
      <c r="Z34" s="1068"/>
      <c r="AA34" s="1071"/>
      <c r="AB34" s="1068"/>
      <c r="AC34" s="1068"/>
      <c r="AD34" s="1068"/>
    </row>
    <row customHeight="1" ht="45">
      <c r="A35" s="1067"/>
      <c r="B35" s="1121">
        <v>18</v>
      </c>
      <c r="C35" s="1065" t="s">
        <v>2106</v>
      </c>
      <c r="D35" s="1190"/>
      <c r="E35" s="1065"/>
      <c r="F35" s="1065"/>
      <c r="G35" s="1113"/>
      <c r="H35" s="1181"/>
      <c r="I35" s="1228" t="str">
        <f>INDEX(TEMPLATE_NUMBER_POINT_FHD,B35,MATCH(TEMPLATE_SPHERE,TEMPLATE_SPHERE_LIST_FOR_NOTE,0))</f>
        <v>2.7.2</v>
      </c>
      <c r="J35" s="122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28">
        <f>INDEX(TEMPLATE_NOTE_POINT_FHD,B35,MATCH(TEMPLATE_SPHERE,TEMPLATE_SPHERE_LIST_FOR_NOTE,0))</f>
        <v>0</v>
      </c>
      <c r="L35" s="1066" t="str">
        <f>IF(I35=0,"",I35)</f>
        <v>2.7.2</v>
      </c>
      <c r="M35" s="106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66" t="str">
        <f>IF(K35=0,"",K35)</f>
        <v/>
      </c>
      <c r="O35" s="1180" t="s">
        <v>2107</v>
      </c>
      <c r="P35" s="1180" t="s">
        <v>2087</v>
      </c>
      <c r="Q35" s="1180" t="s">
        <v>2107</v>
      </c>
      <c r="R35" s="1180" t="s">
        <v>2087</v>
      </c>
      <c r="S35" s="1180"/>
      <c r="T35" s="1187" t="s">
        <v>2108</v>
      </c>
      <c r="U35" s="1068" t="s">
        <v>2108</v>
      </c>
      <c r="V35" s="1068" t="s">
        <v>2108</v>
      </c>
      <c r="W35" s="1068" t="s">
        <v>2108</v>
      </c>
      <c r="X35" s="1065"/>
      <c r="Y35" s="1223"/>
      <c r="Z35" s="1068"/>
      <c r="AA35" s="1071"/>
      <c r="AB35" s="1068"/>
      <c r="AC35" s="1068"/>
      <c r="AD35" s="1068"/>
    </row>
    <row customHeight="1" ht="18">
      <c r="A36" s="1067"/>
      <c r="B36" s="1121">
        <v>19</v>
      </c>
      <c r="C36" s="1065">
        <v>11</v>
      </c>
      <c r="D36" s="1190"/>
      <c r="E36" s="1065"/>
      <c r="F36" s="1065"/>
      <c r="G36" s="1113"/>
      <c r="H36" s="1181"/>
      <c r="I36" s="1228" t="str">
        <f>INDEX(TEMPLATE_NUMBER_POINT_FHD,B36,MATCH(TEMPLATE_SPHERE,TEMPLATE_SPHERE_LIST_FOR_NOTE,0))</f>
        <v>2.8</v>
      </c>
      <c r="J36" s="1228" t="str">
        <f>INDEX(TEMPLATE_DATA_POINT_FHD,B36,MATCH(TEMPLATE_SPHERE,TEMPLATE_SPHERE_LIST_FOR_NOTE,0))</f>
        <v>Расходы на амортизацию основных средств и нематериальных активов</v>
      </c>
      <c r="K36" s="1228">
        <f>INDEX(TEMPLATE_NOTE_POINT_FHD,B36,MATCH(TEMPLATE_SPHERE,TEMPLATE_SPHERE_LIST_FOR_NOTE,0))</f>
        <v>0</v>
      </c>
      <c r="L36" s="1066" t="str">
        <f>IF(I36=0,"",I36)</f>
        <v>2.8</v>
      </c>
      <c r="M36" s="1066" t="str">
        <f>IF(J36=0,"",J36)</f>
        <v>Расходы на амортизацию основных средств и нематериальных активов</v>
      </c>
      <c r="N36" s="1066" t="str">
        <f>IF(K36=0,"",K36)</f>
        <v/>
      </c>
      <c r="O36" s="1180" t="s">
        <v>761</v>
      </c>
      <c r="P36" s="1180" t="s">
        <v>757</v>
      </c>
      <c r="Q36" s="1180" t="s">
        <v>761</v>
      </c>
      <c r="R36" s="1180" t="s">
        <v>757</v>
      </c>
      <c r="S36" s="1180"/>
      <c r="T36" s="1187" t="s">
        <v>2109</v>
      </c>
      <c r="U36" s="1068" t="s">
        <v>2109</v>
      </c>
      <c r="V36" s="1068" t="s">
        <v>2109</v>
      </c>
      <c r="W36" s="1068" t="s">
        <v>2109</v>
      </c>
      <c r="X36" s="1065"/>
      <c r="Y36" s="1223"/>
      <c r="Z36" s="1068"/>
      <c r="AA36" s="1071"/>
      <c r="AB36" s="1068"/>
      <c r="AC36" s="1068"/>
      <c r="AD36" s="1068"/>
    </row>
    <row customHeight="1" ht="18">
      <c r="A37" s="1067"/>
      <c r="B37" s="1121">
        <v>20</v>
      </c>
      <c r="C37" s="1065" t="s">
        <v>2110</v>
      </c>
      <c r="D37" s="1190"/>
      <c r="E37" s="1065"/>
      <c r="F37" s="1065"/>
      <c r="G37" s="1113"/>
      <c r="H37" s="1181"/>
      <c r="I37" s="1228" t="str">
        <f>INDEX(TEMPLATE_NUMBER_POINT_FHD,B37,MATCH(TEMPLATE_SPHERE,TEMPLATE_SPHERE_LIST_FOR_NOTE,0))</f>
        <v>2.8.1</v>
      </c>
      <c r="J37" s="1228" t="str">
        <f>INDEX(TEMPLATE_DATA_POINT_FHD,B37,MATCH(TEMPLATE_SPHERE,TEMPLATE_SPHERE_LIST_FOR_NOTE,0))</f>
        <v>Расходы на амортизацию основных средств</v>
      </c>
      <c r="K37" s="1228">
        <f>INDEX(TEMPLATE_NOTE_POINT_FHD,B37,MATCH(TEMPLATE_SPHERE,TEMPLATE_SPHERE_LIST_FOR_NOTE,0))</f>
        <v>0</v>
      </c>
      <c r="L37" s="1066" t="str">
        <f>IF(I37=0,"",I37)</f>
        <v>2.8.1</v>
      </c>
      <c r="M37" s="1066" t="str">
        <f>IF(J37=0,"",J37)</f>
        <v>Расходы на амортизацию основных средств</v>
      </c>
      <c r="N37" s="1066" t="str">
        <f>IF(K37=0,"",K37)</f>
        <v/>
      </c>
      <c r="O37" s="1180" t="s">
        <v>2111</v>
      </c>
      <c r="P37" s="1180" t="s">
        <v>2094</v>
      </c>
      <c r="Q37" s="1180" t="s">
        <v>2111</v>
      </c>
      <c r="R37" s="1180" t="s">
        <v>2094</v>
      </c>
      <c r="S37" s="1180"/>
      <c r="T37" s="1187" t="s">
        <v>2112</v>
      </c>
      <c r="U37" s="1068" t="s">
        <v>2112</v>
      </c>
      <c r="V37" s="1068" t="s">
        <v>2112</v>
      </c>
      <c r="W37" s="1068" t="s">
        <v>2112</v>
      </c>
      <c r="X37" s="1065"/>
      <c r="Y37" s="1223"/>
      <c r="Z37" s="1068"/>
      <c r="AA37" s="1071"/>
      <c r="AB37" s="1068"/>
      <c r="AC37" s="1068"/>
      <c r="AD37" s="1068"/>
    </row>
    <row customHeight="1" ht="18">
      <c r="A38" s="1067"/>
      <c r="B38" s="1121">
        <v>21</v>
      </c>
      <c r="C38" s="1065" t="s">
        <v>2113</v>
      </c>
      <c r="D38" s="1190"/>
      <c r="E38" s="1065"/>
      <c r="F38" s="1065"/>
      <c r="G38" s="1113"/>
      <c r="H38" s="1181"/>
      <c r="I38" s="1228" t="str">
        <f>INDEX(TEMPLATE_NUMBER_POINT_FHD,B38,MATCH(TEMPLATE_SPHERE,TEMPLATE_SPHERE_LIST_FOR_NOTE,0))</f>
        <v>2.8.2</v>
      </c>
      <c r="J38" s="1228" t="str">
        <f>INDEX(TEMPLATE_DATA_POINT_FHD,B38,MATCH(TEMPLATE_SPHERE,TEMPLATE_SPHERE_LIST_FOR_NOTE,0))</f>
        <v>Расходы на амортизацию нематериальных активов</v>
      </c>
      <c r="K38" s="1228">
        <f>INDEX(TEMPLATE_NOTE_POINT_FHD,B38,MATCH(TEMPLATE_SPHERE,TEMPLATE_SPHERE_LIST_FOR_NOTE,0))</f>
        <v>0</v>
      </c>
      <c r="L38" s="1066" t="str">
        <f>IF(I38=0,"",I38)</f>
        <v>2.8.2</v>
      </c>
      <c r="M38" s="1066" t="str">
        <f>IF(J38=0,"",J38)</f>
        <v>Расходы на амортизацию нематериальных активов</v>
      </c>
      <c r="N38" s="1066" t="str">
        <f>IF(K38=0,"",K38)</f>
        <v/>
      </c>
      <c r="O38" s="1180" t="s">
        <v>2114</v>
      </c>
      <c r="P38" s="1180" t="s">
        <v>2097</v>
      </c>
      <c r="Q38" s="1180" t="s">
        <v>2114</v>
      </c>
      <c r="R38" s="1180" t="s">
        <v>2097</v>
      </c>
      <c r="S38" s="1180"/>
      <c r="T38" s="1187" t="s">
        <v>2115</v>
      </c>
      <c r="U38" s="1068" t="s">
        <v>2115</v>
      </c>
      <c r="V38" s="1068" t="s">
        <v>2115</v>
      </c>
      <c r="W38" s="1068" t="s">
        <v>2115</v>
      </c>
      <c r="X38" s="1065"/>
      <c r="Y38" s="1223"/>
      <c r="Z38" s="1068"/>
      <c r="AA38" s="1071"/>
      <c r="AB38" s="1068"/>
      <c r="AC38" s="1068"/>
      <c r="AD38" s="1068"/>
    </row>
    <row customHeight="1" ht="36">
      <c r="A39" s="1067"/>
      <c r="B39" s="1121">
        <v>22</v>
      </c>
      <c r="C39" s="1065">
        <v>12</v>
      </c>
      <c r="D39" s="1190"/>
      <c r="E39" s="1065"/>
      <c r="F39" s="1065"/>
      <c r="G39" s="1113"/>
      <c r="H39" s="1181"/>
      <c r="I39" s="1228" t="str">
        <f>INDEX(TEMPLATE_NUMBER_POINT_FHD,B39,MATCH(TEMPLATE_SPHERE,TEMPLATE_SPHERE_LIST_FOR_NOTE,0))</f>
        <v>2.9</v>
      </c>
      <c r="J39" s="122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228">
        <f>INDEX(TEMPLATE_NOTE_POINT_FHD,B39,MATCH(TEMPLATE_SPHERE,TEMPLATE_SPHERE_LIST_FOR_NOTE,0))</f>
        <v>0</v>
      </c>
      <c r="L39" s="1066" t="str">
        <f>IF(I39=0,"",I39)</f>
        <v>2.9</v>
      </c>
      <c r="M39" s="1066" t="str">
        <f>IF(J39=0,"",J39)</f>
        <v>Расходы на аренду имущества, используемого для осуществления регулируемых видов деятельности в сфере горячего водоснабжения</v>
      </c>
      <c r="N39" s="1066" t="str">
        <f>IF(K39=0,"",K39)</f>
        <v/>
      </c>
      <c r="O39" s="1180" t="s">
        <v>765</v>
      </c>
      <c r="P39" s="1180" t="s">
        <v>759</v>
      </c>
      <c r="Q39" s="1180" t="s">
        <v>765</v>
      </c>
      <c r="R39" s="1180" t="s">
        <v>759</v>
      </c>
      <c r="S39" s="1180"/>
      <c r="T39" s="1187" t="s">
        <v>2116</v>
      </c>
      <c r="U39" s="1068" t="s">
        <v>2117</v>
      </c>
      <c r="V39" s="1068" t="s">
        <v>2118</v>
      </c>
      <c r="W39" s="1068" t="s">
        <v>2119</v>
      </c>
      <c r="X39" s="1065"/>
      <c r="Y39" s="1223"/>
      <c r="Z39" s="1068"/>
      <c r="AA39" s="1071"/>
      <c r="AB39" s="1068"/>
      <c r="AC39" s="1068"/>
      <c r="AD39" s="1068"/>
    </row>
    <row customHeight="1" ht="18">
      <c r="A40" s="1067"/>
      <c r="B40" s="1121">
        <v>23</v>
      </c>
      <c r="C40" s="1065">
        <v>13</v>
      </c>
      <c r="D40" s="1190"/>
      <c r="E40" s="1065"/>
      <c r="F40" s="1065"/>
      <c r="G40" s="1065"/>
      <c r="H40" s="1116"/>
      <c r="I40" s="1228" t="str">
        <f>INDEX(TEMPLATE_NUMBER_POINT_FHD,B40,MATCH(TEMPLATE_SPHERE,TEMPLATE_SPHERE_LIST_FOR_NOTE,0))</f>
        <v>2.10</v>
      </c>
      <c r="J40" s="1228" t="str">
        <f>INDEX(TEMPLATE_DATA_POINT_FHD,B40,MATCH(TEMPLATE_SPHERE,TEMPLATE_SPHERE_LIST_FOR_NOTE,0))</f>
        <v>Общепроизводственные расходы, в том числе:</v>
      </c>
      <c r="K40" s="1228" t="str">
        <f>INDEX(TEMPLATE_NOTE_POINT_FHD,B40,MATCH(TEMPLATE_SPHERE,TEMPLATE_SPHERE_LIST_FOR_NOTE,0))</f>
        <v>Указывается общая сумма общепроизводственных расходов.</v>
      </c>
      <c r="L40" s="1066" t="str">
        <f>IF(I40=0,"",I40)</f>
        <v>2.10</v>
      </c>
      <c r="M40" s="1066" t="str">
        <f>IF(J40=0,"",J40)</f>
        <v>Общепроизводственные расходы, в том числе:</v>
      </c>
      <c r="N40" s="1066" t="str">
        <f>IF(K40=0,"",K40)</f>
        <v>Указывается общая сумма общепроизводственных расходов.</v>
      </c>
      <c r="O40" s="1180" t="s">
        <v>2120</v>
      </c>
      <c r="P40" s="1180" t="s">
        <v>761</v>
      </c>
      <c r="Q40" s="1180" t="s">
        <v>2120</v>
      </c>
      <c r="R40" s="1180" t="s">
        <v>761</v>
      </c>
      <c r="S40" s="1180"/>
      <c r="T40" s="1065" t="s">
        <v>2121</v>
      </c>
      <c r="U40" s="1065" t="s">
        <v>2121</v>
      </c>
      <c r="V40" s="1065" t="s">
        <v>2121</v>
      </c>
      <c r="W40" s="1065" t="s">
        <v>2121</v>
      </c>
      <c r="X40" s="1065"/>
      <c r="Y40" s="1223"/>
      <c r="Z40" s="1068" t="s">
        <v>2122</v>
      </c>
      <c r="AA40" s="1071" t="s">
        <v>2122</v>
      </c>
      <c r="AB40" s="1071" t="s">
        <v>2122</v>
      </c>
      <c r="AC40" s="1071" t="s">
        <v>2122</v>
      </c>
      <c r="AD40" s="1068"/>
    </row>
    <row customHeight="1" ht="27">
      <c r="A41" s="1067"/>
      <c r="B41" s="1121">
        <v>24</v>
      </c>
      <c r="C41" s="1065" t="s">
        <v>2123</v>
      </c>
      <c r="D41" s="1190"/>
      <c r="E41" s="1065"/>
      <c r="F41" s="1065"/>
      <c r="G41" s="1065"/>
      <c r="H41" s="1113"/>
      <c r="I41" s="1228" t="str">
        <f>INDEX(TEMPLATE_NUMBER_POINT_FHD,B41,MATCH(TEMPLATE_SPHERE,TEMPLATE_SPHERE_LIST_FOR_NOTE,0))</f>
        <v>2.10.1</v>
      </c>
      <c r="J41" s="1228" t="str">
        <f>INDEX(TEMPLATE_DATA_POINT_FHD,B41,MATCH(TEMPLATE_SPHERE,TEMPLATE_SPHERE_LIST_FOR_NOTE,0))</f>
        <v>Расходы на текущий ремонт</v>
      </c>
      <c r="K41" s="1228" t="str">
        <f>INDEX(TEMPLATE_NOTE_POINT_FHD,B41,MATCH(TEMPLATE_SPHERE,TEMPLATE_SPHERE_LIST_FOR_NOTE,0))</f>
        <v>Указываются расходы на текущий ремонт, отнесенные к общепроизводственным расходам.</v>
      </c>
      <c r="L41" s="1066" t="str">
        <f>IF(I41=0,"",I41)</f>
        <v>2.10.1</v>
      </c>
      <c r="M41" s="1066" t="str">
        <f>IF(J41=0,"",J41)</f>
        <v>Расходы на текущий ремонт</v>
      </c>
      <c r="N41" s="1066" t="str">
        <f>IF(K41=0,"",K41)</f>
        <v>Указываются расходы на текущий ремонт, отнесенные к общепроизводственным расходам.</v>
      </c>
      <c r="O41" s="1180" t="s">
        <v>2124</v>
      </c>
      <c r="P41" s="1180" t="s">
        <v>2111</v>
      </c>
      <c r="Q41" s="1180" t="s">
        <v>2124</v>
      </c>
      <c r="R41" s="1180" t="s">
        <v>2111</v>
      </c>
      <c r="S41" s="1180"/>
      <c r="T41" s="1065" t="s">
        <v>2125</v>
      </c>
      <c r="U41" s="1065" t="s">
        <v>2125</v>
      </c>
      <c r="V41" s="1065" t="s">
        <v>2125</v>
      </c>
      <c r="W41" s="1065" t="s">
        <v>2125</v>
      </c>
      <c r="X41" s="1065"/>
      <c r="Y41" s="1223"/>
      <c r="Z41" s="1068" t="s">
        <v>2126</v>
      </c>
      <c r="AA41" s="1068" t="s">
        <v>2126</v>
      </c>
      <c r="AB41" s="1068" t="s">
        <v>2126</v>
      </c>
      <c r="AC41" s="1068" t="s">
        <v>2126</v>
      </c>
      <c r="AD41" s="1068"/>
    </row>
    <row customHeight="1" ht="27">
      <c r="A42" s="1067"/>
      <c r="B42" s="1121">
        <v>25</v>
      </c>
      <c r="C42" s="1065" t="s">
        <v>2127</v>
      </c>
      <c r="D42" s="1190"/>
      <c r="E42" s="1065"/>
      <c r="F42" s="1065"/>
      <c r="G42" s="1065"/>
      <c r="H42" s="1113"/>
      <c r="I42" s="1228" t="str">
        <f>INDEX(TEMPLATE_NUMBER_POINT_FHD,B42,MATCH(TEMPLATE_SPHERE,TEMPLATE_SPHERE_LIST_FOR_NOTE,0))</f>
        <v>2.10.2</v>
      </c>
      <c r="J42" s="1228" t="str">
        <f>INDEX(TEMPLATE_DATA_POINT_FHD,B42,MATCH(TEMPLATE_SPHERE,TEMPLATE_SPHERE_LIST_FOR_NOTE,0))</f>
        <v>Расходы на капитальный ремонт</v>
      </c>
      <c r="K42" s="1228" t="str">
        <f>INDEX(TEMPLATE_NOTE_POINT_FHD,B42,MATCH(TEMPLATE_SPHERE,TEMPLATE_SPHERE_LIST_FOR_NOTE,0))</f>
        <v>Указываются расходы на капитальный ремонт, отнесенные к общепроизводственным расходам.</v>
      </c>
      <c r="L42" s="1066" t="str">
        <f>IF(I42=0,"",I42)</f>
        <v>2.10.2</v>
      </c>
      <c r="M42" s="1066" t="str">
        <f>IF(J42=0,"",J42)</f>
        <v>Расходы на капитальный ремонт</v>
      </c>
      <c r="N42" s="1066" t="str">
        <f>IF(K42=0,"",K42)</f>
        <v>Указываются расходы на капитальный ремонт, отнесенные к общепроизводственным расходам.</v>
      </c>
      <c r="O42" s="1180" t="s">
        <v>2128</v>
      </c>
      <c r="P42" s="1180" t="s">
        <v>2114</v>
      </c>
      <c r="Q42" s="1180" t="s">
        <v>2128</v>
      </c>
      <c r="R42" s="1180" t="s">
        <v>2114</v>
      </c>
      <c r="S42" s="1180"/>
      <c r="T42" s="1065" t="s">
        <v>2129</v>
      </c>
      <c r="U42" s="1065" t="s">
        <v>2129</v>
      </c>
      <c r="V42" s="1065" t="s">
        <v>2129</v>
      </c>
      <c r="W42" s="1065" t="s">
        <v>2129</v>
      </c>
      <c r="X42" s="1065"/>
      <c r="Y42" s="1223"/>
      <c r="Z42" s="1068" t="s">
        <v>2130</v>
      </c>
      <c r="AA42" s="1068" t="s">
        <v>2130</v>
      </c>
      <c r="AB42" s="1068" t="s">
        <v>2130</v>
      </c>
      <c r="AC42" s="1068" t="s">
        <v>2130</v>
      </c>
      <c r="AD42" s="1068"/>
    </row>
    <row customHeight="1" ht="18">
      <c r="A43" s="1067"/>
      <c r="B43" s="1121">
        <v>26</v>
      </c>
      <c r="C43" s="1065">
        <v>14</v>
      </c>
      <c r="D43" s="1190"/>
      <c r="E43" s="1065"/>
      <c r="F43" s="1065"/>
      <c r="G43" s="1065"/>
      <c r="H43" s="1113"/>
      <c r="I43" s="1228" t="str">
        <f>INDEX(TEMPLATE_NUMBER_POINT_FHD,B43,MATCH(TEMPLATE_SPHERE,TEMPLATE_SPHERE_LIST_FOR_NOTE,0))</f>
        <v>2.11</v>
      </c>
      <c r="J43" s="1228" t="str">
        <f>INDEX(TEMPLATE_DATA_POINT_FHD,B43,MATCH(TEMPLATE_SPHERE,TEMPLATE_SPHERE_LIST_FOR_NOTE,0))</f>
        <v>Общехозяйственные расходы, в том числе:</v>
      </c>
      <c r="K43" s="1228" t="str">
        <f>INDEX(TEMPLATE_NOTE_POINT_FHD,B43,MATCH(TEMPLATE_SPHERE,TEMPLATE_SPHERE_LIST_FOR_NOTE,0))</f>
        <v>Указывается общая сумма общехозяйственных расходов.</v>
      </c>
      <c r="L43" s="1066" t="str">
        <f>IF(I43=0,"",I43)</f>
        <v>2.11</v>
      </c>
      <c r="M43" s="1066" t="str">
        <f>IF(J43=0,"",J43)</f>
        <v>Общехозяйственные расходы, в том числе:</v>
      </c>
      <c r="N43" s="1066" t="str">
        <f>IF(K43=0,"",K43)</f>
        <v>Указывается общая сумма общехозяйственных расходов.</v>
      </c>
      <c r="O43" s="1180" t="s">
        <v>2131</v>
      </c>
      <c r="P43" s="1180" t="s">
        <v>765</v>
      </c>
      <c r="Q43" s="1180" t="s">
        <v>2131</v>
      </c>
      <c r="R43" s="1180" t="s">
        <v>765</v>
      </c>
      <c r="S43" s="1180"/>
      <c r="T43" s="1065" t="s">
        <v>2132</v>
      </c>
      <c r="U43" s="1065" t="s">
        <v>2132</v>
      </c>
      <c r="V43" s="1065" t="s">
        <v>2132</v>
      </c>
      <c r="W43" s="1065" t="s">
        <v>2132</v>
      </c>
      <c r="X43" s="1065"/>
      <c r="Y43" s="1223"/>
      <c r="Z43" s="1068" t="s">
        <v>2133</v>
      </c>
      <c r="AA43" s="1068" t="s">
        <v>2133</v>
      </c>
      <c r="AB43" s="1068" t="s">
        <v>2133</v>
      </c>
      <c r="AC43" s="1068" t="s">
        <v>2133</v>
      </c>
      <c r="AD43" s="1068"/>
    </row>
    <row customHeight="1" ht="27">
      <c r="A44" s="1067"/>
      <c r="B44" s="1121">
        <v>27</v>
      </c>
      <c r="C44" s="1065" t="s">
        <v>2134</v>
      </c>
      <c r="D44" s="1190"/>
      <c r="E44" s="1065"/>
      <c r="F44" s="1065"/>
      <c r="G44" s="1065"/>
      <c r="H44" s="1113"/>
      <c r="I44" s="1228" t="str">
        <f>INDEX(TEMPLATE_NUMBER_POINT_FHD,B44,MATCH(TEMPLATE_SPHERE,TEMPLATE_SPHERE_LIST_FOR_NOTE,0))</f>
        <v>2.11.1</v>
      </c>
      <c r="J44" s="1228" t="str">
        <f>INDEX(TEMPLATE_DATA_POINT_FHD,B44,MATCH(TEMPLATE_SPHERE,TEMPLATE_SPHERE_LIST_FOR_NOTE,0))</f>
        <v>Расходы на текущий ремонт</v>
      </c>
      <c r="K44" s="1228" t="str">
        <f>INDEX(TEMPLATE_NOTE_POINT_FHD,B44,MATCH(TEMPLATE_SPHERE,TEMPLATE_SPHERE_LIST_FOR_NOTE,0))</f>
        <v>Указываются расходы на текущий ремонт, отнесенные к общехозяйственным расходам.</v>
      </c>
      <c r="L44" s="1066" t="str">
        <f>IF(I44=0,"",I44)</f>
        <v>2.11.1</v>
      </c>
      <c r="M44" s="1066" t="str">
        <f>IF(J44=0,"",J44)</f>
        <v>Расходы на текущий ремонт</v>
      </c>
      <c r="N44" s="1066" t="str">
        <f>IF(K44=0,"",K44)</f>
        <v>Указываются расходы на текущий ремонт, отнесенные к общехозяйственным расходам.</v>
      </c>
      <c r="O44" s="1180" t="s">
        <v>2135</v>
      </c>
      <c r="P44" s="1180" t="s">
        <v>2136</v>
      </c>
      <c r="Q44" s="1180" t="s">
        <v>2135</v>
      </c>
      <c r="R44" s="1180" t="s">
        <v>2136</v>
      </c>
      <c r="S44" s="1180"/>
      <c r="T44" s="1065" t="s">
        <v>2125</v>
      </c>
      <c r="U44" s="1065" t="s">
        <v>2125</v>
      </c>
      <c r="V44" s="1065" t="s">
        <v>2125</v>
      </c>
      <c r="W44" s="1065" t="s">
        <v>2125</v>
      </c>
      <c r="X44" s="1065"/>
      <c r="Y44" s="1223"/>
      <c r="Z44" s="1068" t="s">
        <v>2137</v>
      </c>
      <c r="AA44" s="1068" t="s">
        <v>2137</v>
      </c>
      <c r="AB44" s="1068" t="s">
        <v>2137</v>
      </c>
      <c r="AC44" s="1068" t="s">
        <v>2137</v>
      </c>
      <c r="AD44" s="1068"/>
    </row>
    <row customHeight="1" ht="27">
      <c r="A45" s="1067"/>
      <c r="B45" s="1121">
        <v>28</v>
      </c>
      <c r="C45" s="1065" t="s">
        <v>2138</v>
      </c>
      <c r="D45" s="1190"/>
      <c r="E45" s="1065"/>
      <c r="F45" s="1065"/>
      <c r="G45" s="1065"/>
      <c r="H45" s="1113"/>
      <c r="I45" s="1228" t="str">
        <f>INDEX(TEMPLATE_NUMBER_POINT_FHD,B45,MATCH(TEMPLATE_SPHERE,TEMPLATE_SPHERE_LIST_FOR_NOTE,0))</f>
        <v>2.11.2</v>
      </c>
      <c r="J45" s="1228" t="str">
        <f>INDEX(TEMPLATE_DATA_POINT_FHD,B45,MATCH(TEMPLATE_SPHERE,TEMPLATE_SPHERE_LIST_FOR_NOTE,0))</f>
        <v>Расходы на капитальный ремонт</v>
      </c>
      <c r="K45" s="1228" t="str">
        <f>INDEX(TEMPLATE_NOTE_POINT_FHD,B45,MATCH(TEMPLATE_SPHERE,TEMPLATE_SPHERE_LIST_FOR_NOTE,0))</f>
        <v>Указываются расходы на капитальный ремонт, отнесенные к общехозяйственным расходам.</v>
      </c>
      <c r="L45" s="1066" t="str">
        <f>IF(I45=0,"",I45)</f>
        <v>2.11.2</v>
      </c>
      <c r="M45" s="1066" t="str">
        <f>IF(J45=0,"",J45)</f>
        <v>Расходы на капитальный ремонт</v>
      </c>
      <c r="N45" s="1066" t="str">
        <f>IF(K45=0,"",K45)</f>
        <v>Указываются расходы на капитальный ремонт, отнесенные к общехозяйственным расходам.</v>
      </c>
      <c r="O45" s="1180" t="s">
        <v>2139</v>
      </c>
      <c r="P45" s="1180" t="s">
        <v>2140</v>
      </c>
      <c r="Q45" s="1180" t="s">
        <v>2139</v>
      </c>
      <c r="R45" s="1180" t="s">
        <v>2140</v>
      </c>
      <c r="S45" s="1180"/>
      <c r="T45" s="1065" t="s">
        <v>2129</v>
      </c>
      <c r="U45" s="1065" t="s">
        <v>2129</v>
      </c>
      <c r="V45" s="1065" t="s">
        <v>2129</v>
      </c>
      <c r="W45" s="1065" t="s">
        <v>2129</v>
      </c>
      <c r="X45" s="1065"/>
      <c r="Y45" s="1223"/>
      <c r="Z45" s="1068" t="s">
        <v>2141</v>
      </c>
      <c r="AA45" s="1068" t="s">
        <v>2141</v>
      </c>
      <c r="AB45" s="1068" t="s">
        <v>2141</v>
      </c>
      <c r="AC45" s="1068" t="s">
        <v>2141</v>
      </c>
      <c r="AD45" s="1068"/>
    </row>
    <row customHeight="1" ht="54">
      <c r="A46" s="1067"/>
      <c r="B46" s="1121">
        <v>29</v>
      </c>
      <c r="C46" s="1065">
        <v>15</v>
      </c>
      <c r="D46" s="1190"/>
      <c r="E46" s="1065"/>
      <c r="F46" s="1065"/>
      <c r="G46" s="1065"/>
      <c r="H46" s="1113"/>
      <c r="I46" s="1228" t="str">
        <f>INDEX(TEMPLATE_NUMBER_POINT_FHD,B46,MATCH(TEMPLATE_SPHERE,TEMPLATE_SPHERE_LIST_FOR_NOTE,0))</f>
        <v>2.12</v>
      </c>
      <c r="J46" s="1228" t="str">
        <f>INDEX(TEMPLATE_DATA_POINT_FHD,B46,MATCH(TEMPLATE_SPHERE,TEMPLATE_SPHERE_LIST_FOR_NOTE,0))</f>
        <v>Расходы на капитальный и текущий ремонт основных средств</v>
      </c>
      <c r="K46" s="122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66" t="str">
        <f>IF(I46=0,"",I46)</f>
        <v>2.12</v>
      </c>
      <c r="M46" s="1066" t="str">
        <f>IF(J46=0,"",J46)</f>
        <v>Расходы на капитальный и текущий ремонт основных средств</v>
      </c>
      <c r="N46" s="106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80" t="s">
        <v>2142</v>
      </c>
      <c r="P46" s="1180" t="s">
        <v>2120</v>
      </c>
      <c r="Q46" s="1180" t="s">
        <v>2142</v>
      </c>
      <c r="R46" s="1180" t="s">
        <v>2120</v>
      </c>
      <c r="S46" s="1180"/>
      <c r="T46" s="1065" t="s">
        <v>2143</v>
      </c>
      <c r="U46" s="1065" t="s">
        <v>2143</v>
      </c>
      <c r="V46" s="1065" t="s">
        <v>2143</v>
      </c>
      <c r="W46" s="1065" t="s">
        <v>2143</v>
      </c>
      <c r="X46" s="1065"/>
      <c r="Y46" s="1223"/>
      <c r="Z46" s="1068" t="s">
        <v>2144</v>
      </c>
      <c r="AA46" s="1068" t="s">
        <v>2145</v>
      </c>
      <c r="AB46" s="1068" t="s">
        <v>2145</v>
      </c>
      <c r="AC46" s="1068" t="s">
        <v>2145</v>
      </c>
      <c r="AD46" s="1068"/>
    </row>
    <row customHeight="1" ht="54">
      <c r="A47" s="1067"/>
      <c r="B47" s="1121">
        <v>30</v>
      </c>
      <c r="C47" s="1065" t="s">
        <v>2146</v>
      </c>
      <c r="D47" s="1190"/>
      <c r="E47" s="1065"/>
      <c r="F47" s="1065"/>
      <c r="G47" s="1065"/>
      <c r="H47" s="1113"/>
      <c r="I47" s="1228" t="str">
        <f>INDEX(TEMPLATE_NUMBER_POINT_FHD,B47,MATCH(TEMPLATE_SPHERE,TEMPLATE_SPHERE_LIST_FOR_NOTE,0))</f>
        <v>2.12.1</v>
      </c>
      <c r="J47" s="122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28">
        <f>INDEX(TEMPLATE_NOTE_POINT_FHD,B47,MATCH(TEMPLATE_SPHERE,TEMPLATE_SPHERE_LIST_FOR_NOTE,0))</f>
        <v>0</v>
      </c>
      <c r="L47" s="1066" t="str">
        <f>IF(I47=0,"",I47)</f>
        <v>2.12.1</v>
      </c>
      <c r="M47" s="106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66" t="str">
        <f>IF(K47=0,"",K47)</f>
        <v/>
      </c>
      <c r="O47" s="1180" t="s">
        <v>2147</v>
      </c>
      <c r="P47" s="1180" t="s">
        <v>2124</v>
      </c>
      <c r="Q47" s="1180" t="s">
        <v>2147</v>
      </c>
      <c r="R47" s="1180" t="s">
        <v>2124</v>
      </c>
      <c r="S47" s="1180"/>
      <c r="T47" s="1065" t="s">
        <v>2148</v>
      </c>
      <c r="U47" s="1065" t="s">
        <v>2148</v>
      </c>
      <c r="V47" s="1065" t="s">
        <v>2148</v>
      </c>
      <c r="W47" s="1065" t="s">
        <v>2148</v>
      </c>
      <c r="X47" s="1065"/>
      <c r="Y47" s="1223"/>
      <c r="Z47" s="1068"/>
      <c r="AA47" s="1071"/>
      <c r="AB47" s="1071"/>
      <c r="AC47" s="1071"/>
      <c r="AD47" s="1068"/>
    </row>
    <row customHeight="1" ht="54">
      <c r="A48" s="1067"/>
      <c r="B48" s="1121">
        <v>31</v>
      </c>
      <c r="C48" s="1065">
        <v>16</v>
      </c>
      <c r="D48" s="1190"/>
      <c r="E48" s="1065"/>
      <c r="F48" s="1065"/>
      <c r="G48" s="1065"/>
      <c r="H48" s="1113"/>
      <c r="I48" s="1228" t="str">
        <f>INDEX(TEMPLATE_NUMBER_POINT_FHD,B48,MATCH(TEMPLATE_SPHERE,TEMPLATE_SPHERE_LIST_FOR_NOTE,0))</f>
        <v>2.13</v>
      </c>
      <c r="J48" s="122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22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66" t="str">
        <f>IF(I48=0,"",I48)</f>
        <v>2.13</v>
      </c>
      <c r="M48" s="106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06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80"/>
      <c r="P48" s="1180" t="s">
        <v>2131</v>
      </c>
      <c r="Q48" s="1180" t="s">
        <v>2149</v>
      </c>
      <c r="R48" s="1180" t="s">
        <v>2131</v>
      </c>
      <c r="S48" s="1180"/>
      <c r="T48" s="1065"/>
      <c r="U48" s="1065" t="s">
        <v>2150</v>
      </c>
      <c r="V48" s="1065" t="s">
        <v>2151</v>
      </c>
      <c r="W48" s="1065" t="s">
        <v>2151</v>
      </c>
      <c r="X48" s="1065"/>
      <c r="Y48" s="1223"/>
      <c r="Z48" s="1068"/>
      <c r="AA48" s="1071" t="s">
        <v>2145</v>
      </c>
      <c r="AB48" s="1071" t="s">
        <v>2145</v>
      </c>
      <c r="AC48" s="1071" t="s">
        <v>2145</v>
      </c>
      <c r="AD48" s="1068"/>
    </row>
    <row customHeight="1" ht="54">
      <c r="A49" s="1067"/>
      <c r="B49" s="1121">
        <v>32</v>
      </c>
      <c r="C49" s="1065" t="s">
        <v>2152</v>
      </c>
      <c r="D49" s="1190"/>
      <c r="E49" s="1065"/>
      <c r="F49" s="1065"/>
      <c r="G49" s="1065"/>
      <c r="H49" s="1113"/>
      <c r="I49" s="1228" t="str">
        <f>INDEX(TEMPLATE_NUMBER_POINT_FHD,B49,MATCH(TEMPLATE_SPHERE,TEMPLATE_SPHERE_LIST_FOR_NOTE,0))</f>
        <v>2.13.1</v>
      </c>
      <c r="J49" s="122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28">
        <f>INDEX(TEMPLATE_NOTE_POINT_FHD,B49,MATCH(TEMPLATE_SPHERE,TEMPLATE_SPHERE_LIST_FOR_NOTE,0))</f>
        <v>0</v>
      </c>
      <c r="L49" s="1066" t="str">
        <f>IF(I49=0,"",I49)</f>
        <v>2.13.1</v>
      </c>
      <c r="M49" s="106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66" t="str">
        <f>IF(K49=0,"",K49)</f>
        <v/>
      </c>
      <c r="O49" s="1180"/>
      <c r="P49" s="1180" t="s">
        <v>2135</v>
      </c>
      <c r="Q49" s="1180" t="s">
        <v>2153</v>
      </c>
      <c r="R49" s="1180" t="s">
        <v>2135</v>
      </c>
      <c r="S49" s="1180"/>
      <c r="T49" s="1065"/>
      <c r="U49" s="1065" t="s">
        <v>2148</v>
      </c>
      <c r="V49" s="1065" t="s">
        <v>2148</v>
      </c>
      <c r="W49" s="1065" t="s">
        <v>2148</v>
      </c>
      <c r="X49" s="1065"/>
      <c r="Y49" s="1223"/>
      <c r="Z49" s="1068"/>
      <c r="AA49" s="1071"/>
      <c r="AB49" s="1071"/>
      <c r="AC49" s="1071"/>
      <c r="AD49" s="1068"/>
    </row>
    <row customHeight="1" ht="126">
      <c r="A50" s="1067"/>
      <c r="B50" s="1121">
        <v>33</v>
      </c>
      <c r="C50" s="1065">
        <v>17</v>
      </c>
      <c r="D50" s="1190"/>
      <c r="E50" s="1065"/>
      <c r="F50" s="1065"/>
      <c r="G50" s="1065"/>
      <c r="H50" s="1113"/>
      <c r="I50" s="1228" t="str">
        <f>INDEX(TEMPLATE_NUMBER_POINT_FHD,B50,MATCH(TEMPLATE_SPHERE,TEMPLATE_SPHERE_LIST_FOR_NOTE,0))</f>
        <v>2.14</v>
      </c>
      <c r="J50" s="1228"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22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66" t="str">
        <f>IF(I50=0,"",I50)</f>
        <v>2.14</v>
      </c>
      <c r="M50" s="1066"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106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80" t="s">
        <v>2149</v>
      </c>
      <c r="P50" s="1180" t="s">
        <v>2142</v>
      </c>
      <c r="Q50" s="1180" t="s">
        <v>2154</v>
      </c>
      <c r="R50" s="1180" t="s">
        <v>2142</v>
      </c>
      <c r="S50" s="1180"/>
      <c r="T50" s="1065" t="s">
        <v>2155</v>
      </c>
      <c r="U50" s="1065" t="s">
        <v>2156</v>
      </c>
      <c r="V50" s="1065" t="s">
        <v>2157</v>
      </c>
      <c r="W50" s="1065" t="s">
        <v>2158</v>
      </c>
      <c r="X50" s="1065"/>
      <c r="Y50" s="1223"/>
      <c r="Z50" s="1068" t="s">
        <v>2159</v>
      </c>
      <c r="AA50" s="1071" t="s">
        <v>2160</v>
      </c>
      <c r="AB50" s="1071" t="s">
        <v>2160</v>
      </c>
      <c r="AC50" s="1071" t="s">
        <v>2160</v>
      </c>
      <c r="AD50" s="1068"/>
    </row>
    <row customHeight="1" ht="27">
      <c r="A51" s="1067"/>
      <c r="B51" s="1121">
        <v>34</v>
      </c>
      <c r="C51" s="1065" t="s">
        <v>2161</v>
      </c>
      <c r="D51" s="1190"/>
      <c r="E51" s="1065"/>
      <c r="F51" s="1065"/>
      <c r="G51" s="1065"/>
      <c r="H51" s="1113"/>
      <c r="I51" s="1228">
        <f>INDEX(TEMPLATE_NUMBER_POINT_FHD,B51,MATCH(TEMPLATE_SPHERE,TEMPLATE_SPHERE_LIST_FOR_NOTE,0))</f>
        <v>0</v>
      </c>
      <c r="J51" s="1228">
        <f>INDEX(TEMPLATE_DATA_POINT_FHD,B51,MATCH(TEMPLATE_SPHERE,TEMPLATE_SPHERE_LIST_FOR_NOTE,0))</f>
        <v>0</v>
      </c>
      <c r="K51" s="1228">
        <f>INDEX(TEMPLATE_NOTE_POINT_FHD,B51,MATCH(TEMPLATE_SPHERE,TEMPLATE_SPHERE_LIST_FOR_NOTE,0))</f>
        <v>0</v>
      </c>
      <c r="L51" s="1066" t="str">
        <f>IF(I51=0,"",I51)</f>
        <v/>
      </c>
      <c r="M51" s="1066" t="str">
        <f>IF(J51=0,"",J51)</f>
        <v/>
      </c>
      <c r="N51" s="1066" t="str">
        <f>IF(K51=0,"",K51)</f>
        <v/>
      </c>
      <c r="O51" s="1180" t="s">
        <v>86</v>
      </c>
      <c r="P51" s="1180"/>
      <c r="Q51" s="1180"/>
      <c r="R51" s="1180"/>
      <c r="S51" s="1180"/>
      <c r="T51" s="1065" t="s">
        <v>2162</v>
      </c>
      <c r="U51" s="1065"/>
      <c r="V51" s="1065"/>
      <c r="W51" s="1065"/>
      <c r="X51" s="1065"/>
      <c r="Y51" s="1223"/>
      <c r="Z51" s="1068"/>
      <c r="AA51" s="1071"/>
      <c r="AB51" s="1071"/>
      <c r="AC51" s="1071"/>
      <c r="AD51" s="1068"/>
    </row>
    <row customHeight="1" ht="36">
      <c r="A52" s="1067"/>
      <c r="B52" s="1121">
        <v>35</v>
      </c>
      <c r="C52" s="1065" t="s">
        <v>2054</v>
      </c>
      <c r="D52" s="1190" t="s">
        <v>2054</v>
      </c>
      <c r="E52" s="1065" t="s">
        <v>2054</v>
      </c>
      <c r="F52" s="1065" t="s">
        <v>2054</v>
      </c>
      <c r="G52" s="1065"/>
      <c r="H52" s="1113"/>
      <c r="I52" s="1228" t="str">
        <f>INDEX(TEMPLATE_NUMBER_POINT_FHD,B52,MATCH(TEMPLATE_SPHERE,TEMPLATE_SPHERE_LIST_FOR_NOTE,0))</f>
        <v>3</v>
      </c>
      <c r="J52" s="1228"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228" t="str">
        <f>INDEX(TEMPLATE_NOTE_POINT_FHD,B52,MATCH(TEMPLATE_SPHERE,TEMPLATE_SPHERE_LIST_FOR_NOTE,0))</f>
        <v>Указывается общая сумма чистой прибыли, полученной от регулируемого вида деятельности.</v>
      </c>
      <c r="L52" s="1066" t="str">
        <f>IF(I52=0,"",I52)</f>
        <v>3</v>
      </c>
      <c r="M52" s="1066" t="str">
        <f>IF(J52=0,"",J52)</f>
        <v>Чистая прибыль, полученная от регулируемого вида деятельности в сфере горячего водоснабжения, в том числе:</v>
      </c>
      <c r="N52" s="1066" t="str">
        <f>IF(K52=0,"",K52)</f>
        <v>Указывается общая сумма чистой прибыли, полученной от регулируемого вида деятельности.</v>
      </c>
      <c r="O52" s="1180" t="s">
        <v>87</v>
      </c>
      <c r="P52" s="1180" t="s">
        <v>86</v>
      </c>
      <c r="Q52" s="1180" t="s">
        <v>86</v>
      </c>
      <c r="R52" s="1180" t="s">
        <v>86</v>
      </c>
      <c r="S52" s="1180"/>
      <c r="T52" s="1065" t="s">
        <v>2163</v>
      </c>
      <c r="U52" s="1065" t="s">
        <v>2164</v>
      </c>
      <c r="V52" s="1065" t="s">
        <v>2165</v>
      </c>
      <c r="W52" s="1065" t="s">
        <v>2166</v>
      </c>
      <c r="X52" s="1065"/>
      <c r="Y52" s="1223"/>
      <c r="Z52" s="1068" t="s">
        <v>769</v>
      </c>
      <c r="AA52" s="1071" t="s">
        <v>769</v>
      </c>
      <c r="AB52" s="1071" t="s">
        <v>769</v>
      </c>
      <c r="AC52" s="1071" t="s">
        <v>769</v>
      </c>
      <c r="AD52" s="1068"/>
    </row>
    <row customHeight="1" ht="36">
      <c r="A53" s="1067"/>
      <c r="B53" s="1121">
        <v>36</v>
      </c>
      <c r="C53" s="1065">
        <v>1</v>
      </c>
      <c r="D53" s="1190"/>
      <c r="E53" s="1065"/>
      <c r="F53" s="1065"/>
      <c r="G53" s="1065"/>
      <c r="H53" s="1113"/>
      <c r="I53" s="1228" t="str">
        <f>INDEX(TEMPLATE_NUMBER_POINT_FHD,B53,MATCH(TEMPLATE_SPHERE,TEMPLATE_SPHERE_LIST_FOR_NOTE,0))</f>
        <v>3.1</v>
      </c>
      <c r="J53" s="122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28">
        <f>INDEX(TEMPLATE_NOTE_POINT_FHD,B53,MATCH(TEMPLATE_SPHERE,TEMPLATE_SPHERE_LIST_FOR_NOTE,0))</f>
        <v>0</v>
      </c>
      <c r="L53" s="1066" t="str">
        <f>IF(I53=0,"",I53)</f>
        <v>3.1</v>
      </c>
      <c r="M53" s="106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66" t="str">
        <f>IF(K53=0,"",K53)</f>
        <v/>
      </c>
      <c r="O53" s="1180" t="s">
        <v>773</v>
      </c>
      <c r="P53" s="1180" t="s">
        <v>430</v>
      </c>
      <c r="Q53" s="1180" t="s">
        <v>430</v>
      </c>
      <c r="R53" s="1180" t="s">
        <v>430</v>
      </c>
      <c r="S53" s="1180"/>
      <c r="T53" s="1065" t="s">
        <v>2167</v>
      </c>
      <c r="U53" s="1065" t="s">
        <v>2167</v>
      </c>
      <c r="V53" s="1065" t="s">
        <v>2167</v>
      </c>
      <c r="W53" s="1065" t="s">
        <v>2167</v>
      </c>
      <c r="X53" s="1065"/>
      <c r="Y53" s="1223"/>
      <c r="Z53" s="1068"/>
      <c r="AA53" s="1071"/>
      <c r="AB53" s="1068"/>
      <c r="AC53" s="1068"/>
      <c r="AD53" s="1068"/>
    </row>
    <row customHeight="1" ht="18">
      <c r="A54" s="1067"/>
      <c r="B54" s="1121">
        <v>37</v>
      </c>
      <c r="C54" s="1065" t="s">
        <v>2060</v>
      </c>
      <c r="D54" s="1190" t="s">
        <v>2060</v>
      </c>
      <c r="E54" s="1065" t="s">
        <v>2060</v>
      </c>
      <c r="F54" s="1065" t="s">
        <v>2060</v>
      </c>
      <c r="G54" s="1065"/>
      <c r="H54" s="1113"/>
      <c r="I54" s="1228" t="str">
        <f>INDEX(TEMPLATE_NUMBER_POINT_FHD,B54,MATCH(TEMPLATE_SPHERE,TEMPLATE_SPHERE_LIST_FOR_NOTE,0))</f>
        <v>4</v>
      </c>
      <c r="J54" s="1228" t="str">
        <f>INDEX(TEMPLATE_DATA_POINT_FHD,B54,MATCH(TEMPLATE_SPHERE,TEMPLATE_SPHERE_LIST_FOR_NOTE,0))</f>
        <v>Изменение стоимости основных фондов, в том числе:</v>
      </c>
      <c r="K54" s="1228" t="str">
        <f>INDEX(TEMPLATE_NOTE_POINT_FHD,B54,MATCH(TEMPLATE_SPHERE,TEMPLATE_SPHERE_LIST_FOR_NOTE,0))</f>
        <v>Указывается общее изменение стоимости основных фондов.</v>
      </c>
      <c r="L54" s="1066" t="str">
        <f>IF(I54=0,"",I54)</f>
        <v>4</v>
      </c>
      <c r="M54" s="1066" t="str">
        <f>IF(J54=0,"",J54)</f>
        <v>Изменение стоимости основных фондов, в том числе:</v>
      </c>
      <c r="N54" s="1066" t="str">
        <f>IF(K54=0,"",K54)</f>
        <v>Указывается общее изменение стоимости основных фондов.</v>
      </c>
      <c r="O54" s="1180" t="s">
        <v>113</v>
      </c>
      <c r="P54" s="1180" t="s">
        <v>87</v>
      </c>
      <c r="Q54" s="1180" t="s">
        <v>87</v>
      </c>
      <c r="R54" s="1180" t="s">
        <v>87</v>
      </c>
      <c r="S54" s="1180"/>
      <c r="T54" s="1065" t="s">
        <v>771</v>
      </c>
      <c r="U54" s="1065" t="s">
        <v>771</v>
      </c>
      <c r="V54" s="1065" t="s">
        <v>771</v>
      </c>
      <c r="W54" s="1065" t="s">
        <v>771</v>
      </c>
      <c r="X54" s="1065"/>
      <c r="Y54" s="1223"/>
      <c r="Z54" s="1068" t="s">
        <v>772</v>
      </c>
      <c r="AA54" s="1068" t="s">
        <v>772</v>
      </c>
      <c r="AB54" s="1068" t="s">
        <v>772</v>
      </c>
      <c r="AC54" s="1068" t="s">
        <v>772</v>
      </c>
      <c r="AD54" s="1068"/>
    </row>
    <row customHeight="1" ht="36">
      <c r="A55" s="1067"/>
      <c r="B55" s="1121">
        <v>38</v>
      </c>
      <c r="C55" s="1065">
        <v>1</v>
      </c>
      <c r="D55" s="1190"/>
      <c r="E55" s="1065"/>
      <c r="F55" s="1065"/>
      <c r="G55" s="1065"/>
      <c r="H55" s="1113"/>
      <c r="I55" s="1228" t="str">
        <f>INDEX(TEMPLATE_NUMBER_POINT_FHD,B55,MATCH(TEMPLATE_SPHERE,TEMPLATE_SPHERE_LIST_FOR_NOTE,0))</f>
        <v>4.1</v>
      </c>
      <c r="J55" s="1228" t="str">
        <f>INDEX(TEMPLATE_DATA_POINT_FHD,B55,MATCH(TEMPLATE_SPHERE,TEMPLATE_SPHERE_LIST_FOR_NOTE,0))</f>
        <v>Изменение стоимости основных фондов за счет их ввода в эксплуатацию (вывода из эксплуатации)</v>
      </c>
      <c r="K55" s="122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66" t="str">
        <f>IF(I55=0,"",I55)</f>
        <v>4.1</v>
      </c>
      <c r="M55" s="1066" t="str">
        <f>IF(J55=0,"",J55)</f>
        <v>Изменение стоимости основных фондов за счет их ввода в эксплуатацию (вывода из эксплуатации)</v>
      </c>
      <c r="N55" s="1066" t="str">
        <f>IF(K55=0,"",K55)</f>
        <v>Указываются общее изменение стоимости основных фондов за счет их ввода в эксплуатацию и вывода из эксплуатации.</v>
      </c>
      <c r="O55" s="1180" t="s">
        <v>419</v>
      </c>
      <c r="P55" s="1180" t="s">
        <v>773</v>
      </c>
      <c r="Q55" s="1180" t="s">
        <v>773</v>
      </c>
      <c r="R55" s="1180" t="s">
        <v>773</v>
      </c>
      <c r="S55" s="1180"/>
      <c r="T55" s="1065" t="s">
        <v>2168</v>
      </c>
      <c r="U55" s="1065" t="s">
        <v>2169</v>
      </c>
      <c r="V55" s="1065" t="s">
        <v>2169</v>
      </c>
      <c r="W55" s="1065" t="s">
        <v>2169</v>
      </c>
      <c r="X55" s="1065"/>
      <c r="Y55" s="1223"/>
      <c r="Z55" s="1068" t="s">
        <v>2170</v>
      </c>
      <c r="AA55" s="1068" t="s">
        <v>2170</v>
      </c>
      <c r="AB55" s="1068" t="s">
        <v>2170</v>
      </c>
      <c r="AC55" s="1068" t="s">
        <v>2170</v>
      </c>
      <c r="AD55" s="1068"/>
    </row>
    <row customHeight="1" ht="27">
      <c r="A56" s="1067"/>
      <c r="B56" s="1121">
        <v>39</v>
      </c>
      <c r="C56" s="1065" t="s">
        <v>1045</v>
      </c>
      <c r="D56" s="1190"/>
      <c r="E56" s="1065"/>
      <c r="F56" s="1065"/>
      <c r="G56" s="1065"/>
      <c r="H56" s="1113"/>
      <c r="I56" s="1228" t="str">
        <f>INDEX(TEMPLATE_NUMBER_POINT_FHD,B56,MATCH(TEMPLATE_SPHERE,TEMPLATE_SPHERE_LIST_FOR_NOTE,0))</f>
        <v>4.1.1</v>
      </c>
      <c r="J56" s="1228" t="str">
        <f>INDEX(TEMPLATE_DATA_POINT_FHD,B56,MATCH(TEMPLATE_SPHERE,TEMPLATE_SPHERE_LIST_FOR_NOTE,0))</f>
        <v>Изменение стоимости основных фондов за счет их ввода в эксплуатацию</v>
      </c>
      <c r="K56" s="1228" t="str">
        <f>INDEX(TEMPLATE_NOTE_POINT_FHD,B56,MATCH(TEMPLATE_SPHERE,TEMPLATE_SPHERE_LIST_FOR_NOTE,0))</f>
        <v>Указываются изменение стоимости основных фондов за счет их ввода в эксплуатацию.</v>
      </c>
      <c r="L56" s="1066" t="str">
        <f>IF(I56=0,"",I56)</f>
        <v>4.1.1</v>
      </c>
      <c r="M56" s="1066" t="str">
        <f>IF(J56=0,"",J56)</f>
        <v>Изменение стоимости основных фондов за счет их ввода в эксплуатацию</v>
      </c>
      <c r="N56" s="1066" t="str">
        <f>IF(K56=0,"",K56)</f>
        <v>Указываются изменение стоимости основных фондов за счет их ввода в эксплуатацию.</v>
      </c>
      <c r="O56" s="1180" t="s">
        <v>1162</v>
      </c>
      <c r="P56" s="1180" t="s">
        <v>776</v>
      </c>
      <c r="Q56" s="1180" t="s">
        <v>776</v>
      </c>
      <c r="R56" s="1180" t="s">
        <v>776</v>
      </c>
      <c r="S56" s="1180"/>
      <c r="T56" s="1065" t="s">
        <v>2171</v>
      </c>
      <c r="U56" s="1065" t="s">
        <v>2172</v>
      </c>
      <c r="V56" s="1065" t="s">
        <v>2172</v>
      </c>
      <c r="W56" s="1065" t="s">
        <v>2172</v>
      </c>
      <c r="X56" s="1065"/>
      <c r="Y56" s="1223"/>
      <c r="Z56" s="1068" t="s">
        <v>778</v>
      </c>
      <c r="AA56" s="1068" t="s">
        <v>778</v>
      </c>
      <c r="AB56" s="1068" t="s">
        <v>778</v>
      </c>
      <c r="AC56" s="1068" t="s">
        <v>778</v>
      </c>
      <c r="AD56" s="1068"/>
    </row>
    <row customHeight="1" ht="27">
      <c r="A57" s="1067"/>
      <c r="B57" s="1121">
        <v>40</v>
      </c>
      <c r="C57" s="1065" t="s">
        <v>1047</v>
      </c>
      <c r="D57" s="1190"/>
      <c r="E57" s="1065"/>
      <c r="F57" s="1065"/>
      <c r="G57" s="1065"/>
      <c r="H57" s="1113"/>
      <c r="I57" s="1228" t="str">
        <f>INDEX(TEMPLATE_NUMBER_POINT_FHD,B57,MATCH(TEMPLATE_SPHERE,TEMPLATE_SPHERE_LIST_FOR_NOTE,0))</f>
        <v>4.1.2</v>
      </c>
      <c r="J57" s="1228" t="str">
        <f>INDEX(TEMPLATE_DATA_POINT_FHD,B57,MATCH(TEMPLATE_SPHERE,TEMPLATE_SPHERE_LIST_FOR_NOTE,0))</f>
        <v>Изменение стоимости основных фондов за счет их вывода в эксплуатацию</v>
      </c>
      <c r="K57" s="1228" t="str">
        <f>INDEX(TEMPLATE_NOTE_POINT_FHD,B57,MATCH(TEMPLATE_SPHERE,TEMPLATE_SPHERE_LIST_FOR_NOTE,0))</f>
        <v>Указываются изменение стоимости основных фондов за счет их вывода из эксплуатации.</v>
      </c>
      <c r="L57" s="1066" t="str">
        <f>IF(I57=0,"",I57)</f>
        <v>4.1.2</v>
      </c>
      <c r="M57" s="1066" t="str">
        <f>IF(J57=0,"",J57)</f>
        <v>Изменение стоимости основных фондов за счет их вывода в эксплуатацию</v>
      </c>
      <c r="N57" s="1066" t="str">
        <f>IF(K57=0,"",K57)</f>
        <v>Указываются изменение стоимости основных фондов за счет их вывода из эксплуатации.</v>
      </c>
      <c r="O57" s="1180" t="s">
        <v>2173</v>
      </c>
      <c r="P57" s="1180" t="s">
        <v>779</v>
      </c>
      <c r="Q57" s="1180" t="s">
        <v>779</v>
      </c>
      <c r="R57" s="1180" t="s">
        <v>779</v>
      </c>
      <c r="S57" s="1180"/>
      <c r="T57" s="1065" t="s">
        <v>2174</v>
      </c>
      <c r="U57" s="1065" t="s">
        <v>2175</v>
      </c>
      <c r="V57" s="1065" t="s">
        <v>2175</v>
      </c>
      <c r="W57" s="1065" t="s">
        <v>2175</v>
      </c>
      <c r="X57" s="1065"/>
      <c r="Y57" s="1223"/>
      <c r="Z57" s="1068" t="s">
        <v>781</v>
      </c>
      <c r="AA57" s="1068" t="s">
        <v>781</v>
      </c>
      <c r="AB57" s="1068" t="s">
        <v>781</v>
      </c>
      <c r="AC57" s="1068" t="s">
        <v>781</v>
      </c>
      <c r="AD57" s="1068"/>
    </row>
    <row customHeight="1" ht="18">
      <c r="A58" s="1067"/>
      <c r="B58" s="1121">
        <v>41</v>
      </c>
      <c r="C58" s="1065">
        <v>2</v>
      </c>
      <c r="D58" s="1190"/>
      <c r="E58" s="1065"/>
      <c r="F58" s="1065"/>
      <c r="G58" s="1065"/>
      <c r="H58" s="1113"/>
      <c r="I58" s="1228" t="str">
        <f>INDEX(TEMPLATE_NUMBER_POINT_FHD,B58,MATCH(TEMPLATE_SPHERE,TEMPLATE_SPHERE_LIST_FOR_NOTE,0))</f>
        <v>4.2</v>
      </c>
      <c r="J58" s="1228" t="str">
        <f>INDEX(TEMPLATE_DATA_POINT_FHD,B58,MATCH(TEMPLATE_SPHERE,TEMPLATE_SPHERE_LIST_FOR_NOTE,0))</f>
        <v>Изменение стоимости основных фондов за счет их переоценки</v>
      </c>
      <c r="K58" s="1228">
        <f>INDEX(TEMPLATE_NOTE_POINT_FHD,B58,MATCH(TEMPLATE_SPHERE,TEMPLATE_SPHERE_LIST_FOR_NOTE,0))</f>
        <v>0</v>
      </c>
      <c r="L58" s="1066" t="str">
        <f>IF(I58=0,"",I58)</f>
        <v>4.2</v>
      </c>
      <c r="M58" s="1066" t="str">
        <f>IF(J58=0,"",J58)</f>
        <v>Изменение стоимости основных фондов за счет их переоценки</v>
      </c>
      <c r="N58" s="1066" t="str">
        <f>IF(K58=0,"",K58)</f>
        <v/>
      </c>
      <c r="O58" s="1180" t="s">
        <v>902</v>
      </c>
      <c r="P58" s="1180" t="s">
        <v>816</v>
      </c>
      <c r="Q58" s="1180" t="s">
        <v>816</v>
      </c>
      <c r="R58" s="1180" t="s">
        <v>816</v>
      </c>
      <c r="S58" s="1180"/>
      <c r="T58" s="1065" t="s">
        <v>2176</v>
      </c>
      <c r="U58" s="1065" t="s">
        <v>2176</v>
      </c>
      <c r="V58" s="1065" t="s">
        <v>2176</v>
      </c>
      <c r="W58" s="1065" t="s">
        <v>2176</v>
      </c>
      <c r="X58" s="1065"/>
      <c r="Y58" s="1223"/>
      <c r="Z58" s="1068"/>
      <c r="AA58" s="1071"/>
      <c r="AB58" s="1068"/>
      <c r="AC58" s="1068"/>
      <c r="AD58" s="1068"/>
    </row>
    <row customHeight="1" ht="36">
      <c r="A59" s="1067"/>
      <c r="B59" s="1121">
        <v>42</v>
      </c>
      <c r="C59" s="1065">
        <v>3</v>
      </c>
      <c r="D59" s="1190" t="s">
        <v>2161</v>
      </c>
      <c r="E59" s="1065" t="s">
        <v>2161</v>
      </c>
      <c r="F59" s="1065" t="s">
        <v>2161</v>
      </c>
      <c r="G59" s="1065"/>
      <c r="H59" s="1113"/>
      <c r="I59" s="1228" t="str">
        <f>INDEX(TEMPLATE_NUMBER_POINT_FHD,B59,MATCH(TEMPLATE_SPHERE,TEMPLATE_SPHERE_LIST_FOR_NOTE,0))</f>
        <v>5</v>
      </c>
      <c r="J59" s="1228"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228">
        <f>INDEX(TEMPLATE_NOTE_POINT_FHD,B59,MATCH(TEMPLATE_SPHERE,TEMPLATE_SPHERE_LIST_FOR_NOTE,0))</f>
        <v>0</v>
      </c>
      <c r="L59" s="1066" t="str">
        <f>IF(I59=0,"",I59)</f>
        <v>5</v>
      </c>
      <c r="M59" s="1066" t="str">
        <f>IF(J59=0,"",J59)</f>
        <v>Валовая прибыль (убытки) от продажи товаров и услуг по регулируемым видам деятельности в сфере горячего водоснабжения</v>
      </c>
      <c r="N59" s="1066" t="str">
        <f>IF(K59=0,"",K59)</f>
        <v/>
      </c>
      <c r="O59" s="1180"/>
      <c r="P59" s="1180" t="s">
        <v>113</v>
      </c>
      <c r="Q59" s="1180" t="s">
        <v>113</v>
      </c>
      <c r="R59" s="1180" t="s">
        <v>113</v>
      </c>
      <c r="S59" s="1180"/>
      <c r="T59" s="1065"/>
      <c r="U59" s="1065" t="s">
        <v>2177</v>
      </c>
      <c r="V59" s="1065" t="s">
        <v>2178</v>
      </c>
      <c r="W59" s="1065" t="s">
        <v>2179</v>
      </c>
      <c r="X59" s="1065"/>
      <c r="Y59" s="1223"/>
      <c r="Z59" s="1068"/>
      <c r="AA59" s="1071"/>
      <c r="AB59" s="1068"/>
      <c r="AC59" s="1068"/>
      <c r="AD59" s="1068"/>
    </row>
    <row customHeight="1" ht="81">
      <c r="A60" s="1067"/>
      <c r="B60" s="1121">
        <v>43</v>
      </c>
      <c r="C60" s="1065" t="s">
        <v>2180</v>
      </c>
      <c r="D60" s="1190" t="s">
        <v>2180</v>
      </c>
      <c r="E60" s="1065" t="s">
        <v>2180</v>
      </c>
      <c r="F60" s="1065" t="s">
        <v>2180</v>
      </c>
      <c r="G60" s="1065"/>
      <c r="H60" s="1113"/>
      <c r="I60" s="1228" t="str">
        <f>INDEX(TEMPLATE_NUMBER_POINT_FHD,B60,MATCH(TEMPLATE_SPHERE,TEMPLATE_SPHERE_LIST_FOR_NOTE,0))</f>
        <v>6</v>
      </c>
      <c r="J60" s="1228" t="str">
        <f>INDEX(TEMPLATE_DATA_POINT_FHD,B60,MATCH(TEMPLATE_SPHERE,TEMPLATE_SPHERE_LIST_FOR_NOTE,0))</f>
        <v>Годовая бухгалтерская (финансовая) отчетность, включая бухгалтерский баланс и приложения к нему</v>
      </c>
      <c r="K60" s="122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1066" t="str">
        <f>IF(I60=0,"",I60)</f>
        <v>6</v>
      </c>
      <c r="M60" s="1066" t="str">
        <f>IF(J60=0,"",J60)</f>
        <v>Годовая бухгалтерская (финансовая) отчетность, включая бухгалтерский баланс и приложения к нему</v>
      </c>
      <c r="N60" s="106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180" t="s">
        <v>88</v>
      </c>
      <c r="P60" s="1180" t="s">
        <v>88</v>
      </c>
      <c r="Q60" s="1180" t="s">
        <v>88</v>
      </c>
      <c r="R60" s="1180" t="s">
        <v>88</v>
      </c>
      <c r="S60" s="1180"/>
      <c r="T60" s="1065" t="s">
        <v>785</v>
      </c>
      <c r="U60" s="1065" t="s">
        <v>785</v>
      </c>
      <c r="V60" s="1065" t="s">
        <v>785</v>
      </c>
      <c r="W60" s="1065" t="s">
        <v>785</v>
      </c>
      <c r="X60" s="1065"/>
      <c r="Y60" s="1223"/>
      <c r="Z60" s="1068" t="s">
        <v>2181</v>
      </c>
      <c r="AA60" s="1071" t="s">
        <v>2182</v>
      </c>
      <c r="AB60" s="1068" t="s">
        <v>2183</v>
      </c>
      <c r="AC60" s="1068" t="s">
        <v>2182</v>
      </c>
      <c r="AD60" s="1068"/>
    </row>
    <row customHeight="1" ht="9">
      <c r="A61" s="1067"/>
      <c r="B61" s="1121">
        <v>44</v>
      </c>
      <c r="C61" s="1065"/>
      <c r="D61" s="1190" t="s">
        <v>2184</v>
      </c>
      <c r="E61" s="1065"/>
      <c r="F61" s="1065"/>
      <c r="G61" s="1065"/>
      <c r="H61" s="1113"/>
      <c r="I61" s="1228">
        <f>INDEX(TEMPLATE_NUMBER_POINT_FHD,B61,MATCH(TEMPLATE_SPHERE,TEMPLATE_SPHERE_LIST_FOR_NOTE,0))</f>
        <v>0</v>
      </c>
      <c r="J61" s="1228">
        <f>INDEX(TEMPLATE_DATA_POINT_FHD,B61,MATCH(TEMPLATE_SPHERE,TEMPLATE_SPHERE_LIST_FOR_NOTE,0))</f>
        <v>0</v>
      </c>
      <c r="K61" s="1228">
        <f>INDEX(TEMPLATE_NOTE_POINT_FHD,B61,MATCH(TEMPLATE_SPHERE,TEMPLATE_SPHERE_LIST_FOR_NOTE,0))</f>
        <v>0</v>
      </c>
      <c r="L61" s="1066" t="str">
        <f>IF(I61=0,"",I61)</f>
        <v/>
      </c>
      <c r="M61" s="1066" t="str">
        <f>IF(J61=0,"",J61)</f>
        <v/>
      </c>
      <c r="N61" s="1066" t="str">
        <f>IF(K61=0,"",K61)</f>
        <v/>
      </c>
      <c r="O61" s="1180"/>
      <c r="P61" s="1180" t="s">
        <v>89</v>
      </c>
      <c r="Q61" s="1180"/>
      <c r="R61" s="1180"/>
      <c r="S61" s="1180"/>
      <c r="T61" s="1065"/>
      <c r="U61" s="1065" t="s">
        <v>2185</v>
      </c>
      <c r="V61" s="1065"/>
      <c r="W61" s="1065"/>
      <c r="X61" s="1065"/>
      <c r="Y61" s="1223"/>
      <c r="Z61" s="1068"/>
      <c r="AA61" s="1071"/>
      <c r="AB61" s="1068"/>
      <c r="AC61" s="1068"/>
      <c r="AD61" s="1068"/>
    </row>
    <row customHeight="1" ht="9">
      <c r="A62" s="1067"/>
      <c r="B62" s="1121">
        <v>45</v>
      </c>
      <c r="C62" s="1065"/>
      <c r="D62" s="1190" t="s">
        <v>2186</v>
      </c>
      <c r="E62" s="1065"/>
      <c r="F62" s="1065"/>
      <c r="G62" s="1065"/>
      <c r="H62" s="1113"/>
      <c r="I62" s="1228">
        <f>INDEX(TEMPLATE_NUMBER_POINT_FHD,B62,MATCH(TEMPLATE_SPHERE,TEMPLATE_SPHERE_LIST_FOR_NOTE,0))</f>
        <v>0</v>
      </c>
      <c r="J62" s="1228">
        <f>INDEX(TEMPLATE_DATA_POINT_FHD,B62,MATCH(TEMPLATE_SPHERE,TEMPLATE_SPHERE_LIST_FOR_NOTE,0))</f>
        <v>0</v>
      </c>
      <c r="K62" s="1228">
        <f>INDEX(TEMPLATE_NOTE_POINT_FHD,B62,MATCH(TEMPLATE_SPHERE,TEMPLATE_SPHERE_LIST_FOR_NOTE,0))</f>
        <v>0</v>
      </c>
      <c r="L62" s="1066" t="str">
        <f>IF(I62=0,"",I62)</f>
        <v/>
      </c>
      <c r="M62" s="1066" t="str">
        <f>IF(J62=0,"",J62)</f>
        <v/>
      </c>
      <c r="N62" s="1066" t="str">
        <f>IF(K62=0,"",K62)</f>
        <v/>
      </c>
      <c r="O62" s="1180"/>
      <c r="P62" s="1180" t="s">
        <v>126</v>
      </c>
      <c r="Q62" s="1180"/>
      <c r="R62" s="1180"/>
      <c r="S62" s="1180"/>
      <c r="T62" s="1065"/>
      <c r="U62" s="1065" t="s">
        <v>2187</v>
      </c>
      <c r="V62" s="1065"/>
      <c r="W62" s="1065"/>
      <c r="X62" s="1065"/>
      <c r="Y62" s="1223"/>
      <c r="Z62" s="1068"/>
      <c r="AA62" s="1071"/>
      <c r="AB62" s="1068"/>
      <c r="AC62" s="1068"/>
      <c r="AD62" s="1068"/>
    </row>
    <row customHeight="1" ht="18">
      <c r="A63" s="1067"/>
      <c r="B63" s="1121">
        <v>46</v>
      </c>
      <c r="C63" s="1065"/>
      <c r="D63" s="1190" t="s">
        <v>2188</v>
      </c>
      <c r="E63" s="1065"/>
      <c r="F63" s="1065"/>
      <c r="G63" s="1065"/>
      <c r="H63" s="1113"/>
      <c r="I63" s="1228">
        <f>INDEX(TEMPLATE_NUMBER_POINT_FHD,B63,MATCH(TEMPLATE_SPHERE,TEMPLATE_SPHERE_LIST_FOR_NOTE,0))</f>
        <v>0</v>
      </c>
      <c r="J63" s="1228">
        <f>INDEX(TEMPLATE_DATA_POINT_FHD,B63,MATCH(TEMPLATE_SPHERE,TEMPLATE_SPHERE_LIST_FOR_NOTE,0))</f>
        <v>0</v>
      </c>
      <c r="K63" s="1228">
        <f>INDEX(TEMPLATE_NOTE_POINT_FHD,B63,MATCH(TEMPLATE_SPHERE,TEMPLATE_SPHERE_LIST_FOR_NOTE,0))</f>
        <v>0</v>
      </c>
      <c r="L63" s="1066" t="str">
        <f>IF(I63=0,"",I63)</f>
        <v/>
      </c>
      <c r="M63" s="1066" t="str">
        <f>IF(J63=0,"",J63)</f>
        <v/>
      </c>
      <c r="N63" s="1066" t="str">
        <f>IF(K63=0,"",K63)</f>
        <v/>
      </c>
      <c r="O63" s="1180"/>
      <c r="P63" s="1180" t="s">
        <v>131</v>
      </c>
      <c r="Q63" s="1180"/>
      <c r="R63" s="1180"/>
      <c r="S63" s="1180"/>
      <c r="T63" s="1065"/>
      <c r="U63" s="1065" t="s">
        <v>2189</v>
      </c>
      <c r="V63" s="1065"/>
      <c r="W63" s="1065"/>
      <c r="X63" s="1065"/>
      <c r="Y63" s="1223"/>
      <c r="Z63" s="1068"/>
      <c r="AA63" s="1071"/>
      <c r="AB63" s="1068"/>
      <c r="AC63" s="1068"/>
      <c r="AD63" s="1068"/>
    </row>
    <row customHeight="1" ht="18">
      <c r="A64" s="1067"/>
      <c r="B64" s="1121">
        <v>47</v>
      </c>
      <c r="C64" s="1065"/>
      <c r="D64" s="1190" t="s">
        <v>2190</v>
      </c>
      <c r="E64" s="1065"/>
      <c r="F64" s="1065"/>
      <c r="G64" s="1065"/>
      <c r="H64" s="1113"/>
      <c r="I64" s="1228">
        <f>INDEX(TEMPLATE_NUMBER_POINT_FHD,B64,MATCH(TEMPLATE_SPHERE,TEMPLATE_SPHERE_LIST_FOR_NOTE,0))</f>
        <v>0</v>
      </c>
      <c r="J64" s="1228">
        <f>INDEX(TEMPLATE_DATA_POINT_FHD,B64,MATCH(TEMPLATE_SPHERE,TEMPLATE_SPHERE_LIST_FOR_NOTE,0))</f>
        <v>0</v>
      </c>
      <c r="K64" s="1228">
        <f>INDEX(TEMPLATE_NOTE_POINT_FHD,B64,MATCH(TEMPLATE_SPHERE,TEMPLATE_SPHERE_LIST_FOR_NOTE,0))</f>
        <v>0</v>
      </c>
      <c r="L64" s="1066" t="str">
        <f>IF(I64=0,"",I64)</f>
        <v/>
      </c>
      <c r="M64" s="1066" t="str">
        <f>IF(J64=0,"",J64)</f>
        <v/>
      </c>
      <c r="N64" s="1066" t="str">
        <f>IF(K64=0,"",K64)</f>
        <v/>
      </c>
      <c r="O64" s="1180"/>
      <c r="P64" s="1180" t="s">
        <v>136</v>
      </c>
      <c r="Q64" s="1180"/>
      <c r="R64" s="1180"/>
      <c r="S64" s="1180"/>
      <c r="T64" s="1065"/>
      <c r="U64" s="1065" t="s">
        <v>2191</v>
      </c>
      <c r="V64" s="1065"/>
      <c r="W64" s="1065"/>
      <c r="X64" s="1065"/>
      <c r="Y64" s="1223"/>
      <c r="Z64" s="1068"/>
      <c r="AA64" s="1071" t="s">
        <v>2192</v>
      </c>
      <c r="AB64" s="1068"/>
      <c r="AC64" s="1068"/>
      <c r="AD64" s="1068"/>
    </row>
    <row customHeight="1" ht="18">
      <c r="A65" s="1067"/>
      <c r="B65" s="1121">
        <v>48</v>
      </c>
      <c r="C65" s="1065"/>
      <c r="D65" s="1190"/>
      <c r="E65" s="1065"/>
      <c r="F65" s="1065"/>
      <c r="G65" s="1065"/>
      <c r="H65" s="1113"/>
      <c r="I65" s="1228">
        <f>INDEX(TEMPLATE_NUMBER_POINT_FHD,B65,MATCH(TEMPLATE_SPHERE,TEMPLATE_SPHERE_LIST_FOR_NOTE,0))</f>
        <v>0</v>
      </c>
      <c r="J65" s="1228">
        <f>INDEX(TEMPLATE_DATA_POINT_FHD,B65,MATCH(TEMPLATE_SPHERE,TEMPLATE_SPHERE_LIST_FOR_NOTE,0))</f>
        <v>0</v>
      </c>
      <c r="K65" s="1228">
        <f>INDEX(TEMPLATE_NOTE_POINT_FHD,B65,MATCH(TEMPLATE_SPHERE,TEMPLATE_SPHERE_LIST_FOR_NOTE,0))</f>
        <v>0</v>
      </c>
      <c r="L65" s="1066" t="str">
        <f>IF(I65=0,"",I65)</f>
        <v/>
      </c>
      <c r="M65" s="1066" t="str">
        <f>IF(J65=0,"",J65)</f>
        <v/>
      </c>
      <c r="N65" s="1066" t="str">
        <f>IF(K65=0,"",K65)</f>
        <v/>
      </c>
      <c r="O65" s="1180"/>
      <c r="P65" s="1180" t="s">
        <v>2102</v>
      </c>
      <c r="Q65" s="1180"/>
      <c r="R65" s="1180"/>
      <c r="S65" s="1180"/>
      <c r="T65" s="1065"/>
      <c r="U65" s="1065" t="s">
        <v>2193</v>
      </c>
      <c r="V65" s="1065"/>
      <c r="W65" s="1065"/>
      <c r="X65" s="1065"/>
      <c r="Y65" s="1223"/>
      <c r="Z65" s="1068"/>
      <c r="AA65" s="1071"/>
      <c r="AB65" s="1068"/>
      <c r="AC65" s="1068"/>
      <c r="AD65" s="1068"/>
    </row>
    <row customHeight="1" ht="18">
      <c r="A66" s="1067"/>
      <c r="B66" s="1121">
        <v>49</v>
      </c>
      <c r="C66" s="1065"/>
      <c r="D66" s="1190"/>
      <c r="E66" s="1065"/>
      <c r="F66" s="1065"/>
      <c r="G66" s="1065"/>
      <c r="H66" s="1113"/>
      <c r="I66" s="1228">
        <f>INDEX(TEMPLATE_NUMBER_POINT_FHD,B66,MATCH(TEMPLATE_SPHERE,TEMPLATE_SPHERE_LIST_FOR_NOTE,0))</f>
        <v>0</v>
      </c>
      <c r="J66" s="1228">
        <f>INDEX(TEMPLATE_DATA_POINT_FHD,B66,MATCH(TEMPLATE_SPHERE,TEMPLATE_SPHERE_LIST_FOR_NOTE,0))</f>
        <v>0</v>
      </c>
      <c r="K66" s="1228">
        <f>INDEX(TEMPLATE_NOTE_POINT_FHD,B66,MATCH(TEMPLATE_SPHERE,TEMPLATE_SPHERE_LIST_FOR_NOTE,0))</f>
        <v>0</v>
      </c>
      <c r="L66" s="1066" t="str">
        <f>IF(I66=0,"",I66)</f>
        <v/>
      </c>
      <c r="M66" s="1066" t="str">
        <f>IF(J66=0,"",J66)</f>
        <v/>
      </c>
      <c r="N66" s="1066" t="str">
        <f>IF(K66=0,"",K66)</f>
        <v/>
      </c>
      <c r="O66" s="1180"/>
      <c r="P66" s="1180" t="s">
        <v>2106</v>
      </c>
      <c r="Q66" s="1180"/>
      <c r="R66" s="1180"/>
      <c r="S66" s="1180"/>
      <c r="T66" s="1065"/>
      <c r="U66" s="1065" t="s">
        <v>2194</v>
      </c>
      <c r="V66" s="1065"/>
      <c r="W66" s="1065"/>
      <c r="X66" s="1065"/>
      <c r="Y66" s="1223"/>
      <c r="Z66" s="1068"/>
      <c r="AA66" s="1071"/>
      <c r="AB66" s="1068"/>
      <c r="AC66" s="1068"/>
      <c r="AD66" s="1068"/>
    </row>
    <row customHeight="1" ht="27">
      <c r="A67" s="1067"/>
      <c r="B67" s="1121">
        <v>50</v>
      </c>
      <c r="C67" s="1065"/>
      <c r="D67" s="1190"/>
      <c r="E67" s="1065"/>
      <c r="F67" s="1065"/>
      <c r="G67" s="1065"/>
      <c r="H67" s="1113"/>
      <c r="I67" s="1228">
        <f>INDEX(TEMPLATE_NUMBER_POINT_FHD,B67,MATCH(TEMPLATE_SPHERE,TEMPLATE_SPHERE_LIST_FOR_NOTE,0))</f>
        <v>0</v>
      </c>
      <c r="J67" s="1228">
        <f>INDEX(TEMPLATE_DATA_POINT_FHD,B67,MATCH(TEMPLATE_SPHERE,TEMPLATE_SPHERE_LIST_FOR_NOTE,0))</f>
        <v>0</v>
      </c>
      <c r="K67" s="1228">
        <f>INDEX(TEMPLATE_NOTE_POINT_FHD,B67,MATCH(TEMPLATE_SPHERE,TEMPLATE_SPHERE_LIST_FOR_NOTE,0))</f>
        <v>0</v>
      </c>
      <c r="L67" s="1066" t="str">
        <f>IF(I67=0,"",I67)</f>
        <v/>
      </c>
      <c r="M67" s="1066" t="str">
        <f>IF(J67=0,"",J67)</f>
        <v/>
      </c>
      <c r="N67" s="1066" t="str">
        <f>IF(K67=0,"",K67)</f>
        <v/>
      </c>
      <c r="O67" s="1180"/>
      <c r="P67" s="1180" t="s">
        <v>2195</v>
      </c>
      <c r="Q67" s="1180"/>
      <c r="R67" s="1180"/>
      <c r="S67" s="1180"/>
      <c r="T67" s="1065"/>
      <c r="U67" s="1065" t="s">
        <v>2196</v>
      </c>
      <c r="V67" s="1065"/>
      <c r="W67" s="1065"/>
      <c r="X67" s="1065"/>
      <c r="Y67" s="1223"/>
      <c r="Z67" s="1068"/>
      <c r="AA67" s="1071"/>
      <c r="AB67" s="1068"/>
      <c r="AC67" s="1068"/>
      <c r="AD67" s="1068"/>
    </row>
    <row customHeight="1" ht="27">
      <c r="A68" s="1067"/>
      <c r="B68" s="1121">
        <v>51</v>
      </c>
      <c r="C68" s="1065"/>
      <c r="D68" s="1190"/>
      <c r="E68" s="1065"/>
      <c r="F68" s="1065"/>
      <c r="G68" s="1065"/>
      <c r="H68" s="1113"/>
      <c r="I68" s="1228">
        <f>INDEX(TEMPLATE_NUMBER_POINT_FHD,B68,MATCH(TEMPLATE_SPHERE,TEMPLATE_SPHERE_LIST_FOR_NOTE,0))</f>
        <v>0</v>
      </c>
      <c r="J68" s="1228">
        <f>INDEX(TEMPLATE_DATA_POINT_FHD,B68,MATCH(TEMPLATE_SPHERE,TEMPLATE_SPHERE_LIST_FOR_NOTE,0))</f>
        <v>0</v>
      </c>
      <c r="K68" s="1228">
        <f>INDEX(TEMPLATE_NOTE_POINT_FHD,B68,MATCH(TEMPLATE_SPHERE,TEMPLATE_SPHERE_LIST_FOR_NOTE,0))</f>
        <v>0</v>
      </c>
      <c r="L68" s="1066" t="str">
        <f>IF(I68=0,"",I68)</f>
        <v/>
      </c>
      <c r="M68" s="1066" t="str">
        <f>IF(J68=0,"",J68)</f>
        <v/>
      </c>
      <c r="N68" s="1066" t="str">
        <f>IF(K68=0,"",K68)</f>
        <v/>
      </c>
      <c r="O68" s="1180"/>
      <c r="P68" s="1180" t="s">
        <v>2197</v>
      </c>
      <c r="Q68" s="1180"/>
      <c r="R68" s="1180"/>
      <c r="S68" s="1180"/>
      <c r="T68" s="1065"/>
      <c r="U68" s="1065" t="s">
        <v>2198</v>
      </c>
      <c r="V68" s="1065"/>
      <c r="W68" s="1065"/>
      <c r="X68" s="1065"/>
      <c r="Y68" s="1223"/>
      <c r="Z68" s="1068"/>
      <c r="AA68" s="1071"/>
      <c r="AB68" s="1068"/>
      <c r="AC68" s="1068"/>
      <c r="AD68" s="1068"/>
    </row>
    <row customHeight="1" ht="9">
      <c r="A69" s="1067"/>
      <c r="B69" s="1121">
        <v>52</v>
      </c>
      <c r="C69" s="1065"/>
      <c r="D69" s="1190" t="s">
        <v>2199</v>
      </c>
      <c r="E69" s="1065"/>
      <c r="F69" s="1065"/>
      <c r="G69" s="1065"/>
      <c r="H69" s="1113"/>
      <c r="I69" s="1228">
        <f>INDEX(TEMPLATE_NUMBER_POINT_FHD,B69,MATCH(TEMPLATE_SPHERE,TEMPLATE_SPHERE_LIST_FOR_NOTE,0))</f>
        <v>0</v>
      </c>
      <c r="J69" s="1228">
        <f>INDEX(TEMPLATE_DATA_POINT_FHD,B69,MATCH(TEMPLATE_SPHERE,TEMPLATE_SPHERE_LIST_FOR_NOTE,0))</f>
        <v>0</v>
      </c>
      <c r="K69" s="1228">
        <f>INDEX(TEMPLATE_NOTE_POINT_FHD,B69,MATCH(TEMPLATE_SPHERE,TEMPLATE_SPHERE_LIST_FOR_NOTE,0))</f>
        <v>0</v>
      </c>
      <c r="L69" s="1066" t="str">
        <f>IF(I69=0,"",I69)</f>
        <v/>
      </c>
      <c r="M69" s="1066" t="str">
        <f>IF(J69=0,"",J69)</f>
        <v/>
      </c>
      <c r="N69" s="1066" t="str">
        <f>IF(K69=0,"",K69)</f>
        <v/>
      </c>
      <c r="O69" s="1180"/>
      <c r="P69" s="1180" t="s">
        <v>141</v>
      </c>
      <c r="Q69" s="1180"/>
      <c r="R69" s="1180"/>
      <c r="S69" s="1180"/>
      <c r="T69" s="1065"/>
      <c r="U69" s="1065" t="s">
        <v>2200</v>
      </c>
      <c r="V69" s="1065"/>
      <c r="W69" s="1065"/>
      <c r="X69" s="1065"/>
      <c r="Y69" s="1223"/>
      <c r="Z69" s="1068"/>
      <c r="AA69" s="1071"/>
      <c r="AB69" s="1068"/>
      <c r="AC69" s="1068"/>
      <c r="AD69" s="1068"/>
    </row>
    <row customHeight="1" ht="27">
      <c r="A70" s="1067"/>
      <c r="B70" s="1121">
        <v>53</v>
      </c>
      <c r="C70" s="1065"/>
      <c r="D70" s="1190"/>
      <c r="E70" s="1065" t="s">
        <v>2184</v>
      </c>
      <c r="F70" s="1065"/>
      <c r="G70" s="1065"/>
      <c r="H70" s="1113"/>
      <c r="I70" s="1228" t="str">
        <f>INDEX(TEMPLATE_NUMBER_POINT_FHD,B70,MATCH(TEMPLATE_SPHERE,TEMPLATE_SPHERE_LIST_FOR_NOTE,0))</f>
        <v>7</v>
      </c>
      <c r="J70" s="1228" t="str">
        <f>INDEX(TEMPLATE_DATA_POINT_FHD,B70,MATCH(TEMPLATE_SPHERE,TEMPLATE_SPHERE_LIST_FOR_NOTE,0))</f>
        <v>Объём приобретаемой холодной воды, используемой для горячего водоснабжения</v>
      </c>
      <c r="K70" s="1228">
        <f>INDEX(TEMPLATE_NOTE_POINT_FHD,B70,MATCH(TEMPLATE_SPHERE,TEMPLATE_SPHERE_LIST_FOR_NOTE,0))</f>
        <v>0</v>
      </c>
      <c r="L70" s="1066" t="str">
        <f>IF(I70=0,"",I70)</f>
        <v>7</v>
      </c>
      <c r="M70" s="1066" t="str">
        <f>IF(J70=0,"",J70)</f>
        <v>Объём приобретаемой холодной воды, используемой для горячего водоснабжения</v>
      </c>
      <c r="N70" s="1066" t="str">
        <f>IF(K70=0,"",K70)</f>
        <v/>
      </c>
      <c r="O70" s="1180"/>
      <c r="P70" s="1180"/>
      <c r="Q70" s="1180" t="s">
        <v>89</v>
      </c>
      <c r="R70" s="1180"/>
      <c r="S70" s="1180"/>
      <c r="T70" s="1065"/>
      <c r="U70" s="1065"/>
      <c r="V70" s="1065" t="s">
        <v>2201</v>
      </c>
      <c r="W70" s="1065"/>
      <c r="X70" s="1065"/>
      <c r="Y70" s="1223"/>
      <c r="Z70" s="1068"/>
      <c r="AA70" s="1071"/>
      <c r="AB70" s="1068"/>
      <c r="AC70" s="1068"/>
      <c r="AD70" s="1068"/>
    </row>
    <row customHeight="1" ht="36">
      <c r="A71" s="1067"/>
      <c r="B71" s="1121">
        <v>54</v>
      </c>
      <c r="C71" s="1065"/>
      <c r="D71" s="1190"/>
      <c r="E71" s="1065" t="s">
        <v>2186</v>
      </c>
      <c r="F71" s="1065"/>
      <c r="G71" s="1065"/>
      <c r="H71" s="1113"/>
      <c r="I71" s="1228" t="str">
        <f>INDEX(TEMPLATE_NUMBER_POINT_FHD,B71,MATCH(TEMPLATE_SPHERE,TEMPLATE_SPHERE_LIST_FOR_NOTE,0))</f>
        <v>8</v>
      </c>
      <c r="J71" s="1228"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228">
        <f>INDEX(TEMPLATE_NOTE_POINT_FHD,B71,MATCH(TEMPLATE_SPHERE,TEMPLATE_SPHERE_LIST_FOR_NOTE,0))</f>
        <v>0</v>
      </c>
      <c r="L71" s="1066" t="str">
        <f>IF(I71=0,"",I71)</f>
        <v>8</v>
      </c>
      <c r="M71" s="1066" t="str">
        <f>IF(J71=0,"",J71)</f>
        <v>Объём холодной воды, получаемой с применением собственных источников водозабора (скважин) и используемой для горячего водоснабжения</v>
      </c>
      <c r="N71" s="1066" t="str">
        <f>IF(K71=0,"",K71)</f>
        <v/>
      </c>
      <c r="O71" s="1180"/>
      <c r="P71" s="1180"/>
      <c r="Q71" s="1180" t="s">
        <v>126</v>
      </c>
      <c r="R71" s="1180"/>
      <c r="S71" s="1180"/>
      <c r="T71" s="1065"/>
      <c r="U71" s="1065"/>
      <c r="V71" s="1065" t="s">
        <v>2202</v>
      </c>
      <c r="W71" s="1065"/>
      <c r="X71" s="1065"/>
      <c r="Y71" s="1223"/>
      <c r="Z71" s="1068"/>
      <c r="AA71" s="1071"/>
      <c r="AB71" s="1068"/>
      <c r="AC71" s="1068"/>
      <c r="AD71" s="1068"/>
    </row>
    <row customHeight="1" ht="27">
      <c r="A72" s="1067"/>
      <c r="B72" s="1121">
        <v>55</v>
      </c>
      <c r="C72" s="1065"/>
      <c r="D72" s="1190"/>
      <c r="E72" s="1065" t="s">
        <v>2188</v>
      </c>
      <c r="F72" s="1065"/>
      <c r="G72" s="1065"/>
      <c r="H72" s="1113"/>
      <c r="I72" s="1228" t="str">
        <f>INDEX(TEMPLATE_NUMBER_POINT_FHD,B72,MATCH(TEMPLATE_SPHERE,TEMPLATE_SPHERE_LIST_FOR_NOTE,0))</f>
        <v>9</v>
      </c>
      <c r="J72" s="1228" t="str">
        <f>INDEX(TEMPLATE_DATA_POINT_FHD,B72,MATCH(TEMPLATE_SPHERE,TEMPLATE_SPHERE_LIST_FOR_NOTE,0))</f>
        <v>Объём приобретаемой тепловой энергии (мощности), используемой для горячего водоснабжения</v>
      </c>
      <c r="K72" s="1228">
        <f>INDEX(TEMPLATE_NOTE_POINT_FHD,B72,MATCH(TEMPLATE_SPHERE,TEMPLATE_SPHERE_LIST_FOR_NOTE,0))</f>
        <v>0</v>
      </c>
      <c r="L72" s="1066" t="str">
        <f>IF(I72=0,"",I72)</f>
        <v>9</v>
      </c>
      <c r="M72" s="1066" t="str">
        <f>IF(J72=0,"",J72)</f>
        <v>Объём приобретаемой тепловой энергии (мощности), используемой для горячего водоснабжения</v>
      </c>
      <c r="N72" s="1066" t="str">
        <f>IF(K72=0,"",K72)</f>
        <v/>
      </c>
      <c r="O72" s="1180"/>
      <c r="P72" s="1180"/>
      <c r="Q72" s="1180" t="s">
        <v>131</v>
      </c>
      <c r="R72" s="1180"/>
      <c r="S72" s="1180"/>
      <c r="T72" s="1065"/>
      <c r="U72" s="1065"/>
      <c r="V72" s="1065" t="s">
        <v>2203</v>
      </c>
      <c r="W72" s="1065"/>
      <c r="X72" s="1065"/>
      <c r="Y72" s="1223"/>
      <c r="Z72" s="1068"/>
      <c r="AA72" s="1071"/>
      <c r="AB72" s="1068"/>
      <c r="AC72" s="1068"/>
      <c r="AD72" s="1068"/>
    </row>
    <row customHeight="1" ht="36">
      <c r="A73" s="1067"/>
      <c r="B73" s="1121">
        <v>56</v>
      </c>
      <c r="C73" s="1065"/>
      <c r="D73" s="1190"/>
      <c r="E73" s="1065" t="s">
        <v>2190</v>
      </c>
      <c r="F73" s="1065"/>
      <c r="G73" s="1065"/>
      <c r="H73" s="1113"/>
      <c r="I73" s="1228" t="str">
        <f>INDEX(TEMPLATE_NUMBER_POINT_FHD,B73,MATCH(TEMPLATE_SPHERE,TEMPLATE_SPHERE_LIST_FOR_NOTE,0))</f>
        <v>10</v>
      </c>
      <c r="J73" s="1228"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228">
        <f>INDEX(TEMPLATE_NOTE_POINT_FHD,B73,MATCH(TEMPLATE_SPHERE,TEMPLATE_SPHERE_LIST_FOR_NOTE,0))</f>
        <v>0</v>
      </c>
      <c r="L73" s="1066" t="str">
        <f>IF(I73=0,"",I73)</f>
        <v>10</v>
      </c>
      <c r="M73" s="1066" t="str">
        <f>IF(J73=0,"",J73)</f>
        <v>Объём тепловой энергии, производимой с применением собственных источников и используемой для горячего водоснабжения</v>
      </c>
      <c r="N73" s="1066" t="str">
        <f>IF(K73=0,"",K73)</f>
        <v/>
      </c>
      <c r="O73" s="1180"/>
      <c r="P73" s="1180"/>
      <c r="Q73" s="1180" t="s">
        <v>136</v>
      </c>
      <c r="R73" s="1180"/>
      <c r="S73" s="1180"/>
      <c r="T73" s="1065"/>
      <c r="U73" s="1065"/>
      <c r="V73" s="1065" t="s">
        <v>2204</v>
      </c>
      <c r="W73" s="1065"/>
      <c r="X73" s="1065"/>
      <c r="Y73" s="1223"/>
      <c r="Z73" s="1068"/>
      <c r="AA73" s="1071"/>
      <c r="AB73" s="1068"/>
      <c r="AC73" s="1068"/>
      <c r="AD73" s="1068"/>
    </row>
    <row customHeight="1" ht="18">
      <c r="A74" s="1067"/>
      <c r="B74" s="1121">
        <v>57</v>
      </c>
      <c r="C74" s="1065"/>
      <c r="D74" s="1190"/>
      <c r="E74" s="1065" t="s">
        <v>2199</v>
      </c>
      <c r="F74" s="1065"/>
      <c r="G74" s="1065"/>
      <c r="H74" s="1113"/>
      <c r="I74" s="1228" t="str">
        <f>INDEX(TEMPLATE_NUMBER_POINT_FHD,B74,MATCH(TEMPLATE_SPHERE,TEMPLATE_SPHERE_LIST_FOR_NOTE,0))</f>
        <v>11</v>
      </c>
      <c r="J74" s="1228" t="str">
        <f>INDEX(TEMPLATE_DATA_POINT_FHD,B74,MATCH(TEMPLATE_SPHERE,TEMPLATE_SPHERE_LIST_FOR_NOTE,0))</f>
        <v>Потери горячей воды в сетях (процентов)</v>
      </c>
      <c r="K74" s="1228">
        <f>INDEX(TEMPLATE_NOTE_POINT_FHD,B74,MATCH(TEMPLATE_SPHERE,TEMPLATE_SPHERE_LIST_FOR_NOTE,0))</f>
        <v>0</v>
      </c>
      <c r="L74" s="1066" t="str">
        <f>IF(I74=0,"",I74)</f>
        <v>11</v>
      </c>
      <c r="M74" s="1066" t="str">
        <f>IF(J74=0,"",J74)</f>
        <v>Потери горячей воды в сетях (процентов)</v>
      </c>
      <c r="N74" s="1066" t="str">
        <f>IF(K74=0,"",K74)</f>
        <v/>
      </c>
      <c r="O74" s="1180"/>
      <c r="P74" s="1180"/>
      <c r="Q74" s="1180" t="s">
        <v>141</v>
      </c>
      <c r="R74" s="1180"/>
      <c r="S74" s="1180"/>
      <c r="T74" s="1065"/>
      <c r="U74" s="1065"/>
      <c r="V74" s="1065" t="s">
        <v>2205</v>
      </c>
      <c r="W74" s="1065"/>
      <c r="X74" s="1065"/>
      <c r="Y74" s="1223"/>
      <c r="Z74" s="1068"/>
      <c r="AA74" s="1071"/>
      <c r="AB74" s="1068"/>
      <c r="AC74" s="1068"/>
      <c r="AD74" s="1068"/>
    </row>
    <row customHeight="1" ht="18">
      <c r="A75" s="1067"/>
      <c r="B75" s="1121">
        <v>58</v>
      </c>
      <c r="C75" s="1065"/>
      <c r="D75" s="1190"/>
      <c r="E75" s="1065"/>
      <c r="F75" s="1065" t="s">
        <v>2184</v>
      </c>
      <c r="G75" s="1065"/>
      <c r="H75" s="1113"/>
      <c r="I75" s="1228">
        <f>INDEX(TEMPLATE_NUMBER_POINT_FHD,B75,MATCH(TEMPLATE_SPHERE,TEMPLATE_SPHERE_LIST_FOR_NOTE,0))</f>
        <v>0</v>
      </c>
      <c r="J75" s="1228">
        <f>INDEX(TEMPLATE_DATA_POINT_FHD,B75,MATCH(TEMPLATE_SPHERE,TEMPLATE_SPHERE_LIST_FOR_NOTE,0))</f>
        <v>0</v>
      </c>
      <c r="K75" s="1228">
        <f>INDEX(TEMPLATE_NOTE_POINT_FHD,B75,MATCH(TEMPLATE_SPHERE,TEMPLATE_SPHERE_LIST_FOR_NOTE,0))</f>
        <v>0</v>
      </c>
      <c r="L75" s="1066" t="str">
        <f>IF(I75=0,"",I75)</f>
        <v/>
      </c>
      <c r="M75" s="1066" t="str">
        <f>IF(J75=0,"",J75)</f>
        <v/>
      </c>
      <c r="N75" s="1066" t="str">
        <f>IF(K75=0,"",K75)</f>
        <v/>
      </c>
      <c r="O75" s="1180"/>
      <c r="P75" s="1180"/>
      <c r="Q75" s="1180"/>
      <c r="R75" s="1180" t="s">
        <v>89</v>
      </c>
      <c r="S75" s="1180"/>
      <c r="T75" s="1065"/>
      <c r="U75" s="1065"/>
      <c r="V75" s="1065"/>
      <c r="W75" s="1065" t="s">
        <v>2206</v>
      </c>
      <c r="X75" s="1065"/>
      <c r="Y75" s="1223"/>
      <c r="Z75" s="1068"/>
      <c r="AA75" s="1071"/>
      <c r="AB75" s="1068"/>
      <c r="AC75" s="1068"/>
      <c r="AD75" s="1068"/>
    </row>
    <row customHeight="1" ht="36">
      <c r="A76" s="1067"/>
      <c r="B76" s="1121">
        <v>59</v>
      </c>
      <c r="C76" s="1065"/>
      <c r="D76" s="1190"/>
      <c r="E76" s="1065"/>
      <c r="F76" s="1065" t="s">
        <v>2186</v>
      </c>
      <c r="G76" s="1065"/>
      <c r="H76" s="1113"/>
      <c r="I76" s="1228">
        <f>INDEX(TEMPLATE_NUMBER_POINT_FHD,B76,MATCH(TEMPLATE_SPHERE,TEMPLATE_SPHERE_LIST_FOR_NOTE,0))</f>
        <v>0</v>
      </c>
      <c r="J76" s="1228">
        <f>INDEX(TEMPLATE_DATA_POINT_FHD,B76,MATCH(TEMPLATE_SPHERE,TEMPLATE_SPHERE_LIST_FOR_NOTE,0))</f>
        <v>0</v>
      </c>
      <c r="K76" s="1228">
        <f>INDEX(TEMPLATE_NOTE_POINT_FHD,B76,MATCH(TEMPLATE_SPHERE,TEMPLATE_SPHERE_LIST_FOR_NOTE,0))</f>
        <v>0</v>
      </c>
      <c r="L76" s="1066" t="str">
        <f>IF(I76=0,"",I76)</f>
        <v/>
      </c>
      <c r="M76" s="1066" t="str">
        <f>IF(J76=0,"",J76)</f>
        <v/>
      </c>
      <c r="N76" s="1066" t="str">
        <f>IF(K76=0,"",K76)</f>
        <v/>
      </c>
      <c r="O76" s="1180"/>
      <c r="P76" s="1180"/>
      <c r="Q76" s="1180"/>
      <c r="R76" s="1180" t="s">
        <v>126</v>
      </c>
      <c r="S76" s="1180"/>
      <c r="T76" s="1065"/>
      <c r="U76" s="1065"/>
      <c r="V76" s="1065"/>
      <c r="W76" s="1065" t="s">
        <v>2207</v>
      </c>
      <c r="X76" s="1065"/>
      <c r="Y76" s="1223"/>
      <c r="Z76" s="1068"/>
      <c r="AA76" s="1071"/>
      <c r="AB76" s="1068"/>
      <c r="AC76" s="1068"/>
      <c r="AD76" s="1068"/>
    </row>
    <row customHeight="1" ht="18">
      <c r="A77" s="1067"/>
      <c r="B77" s="1121">
        <v>60</v>
      </c>
      <c r="C77" s="1065"/>
      <c r="D77" s="1190"/>
      <c r="E77" s="1065"/>
      <c r="F77" s="1065" t="s">
        <v>2188</v>
      </c>
      <c r="G77" s="1065"/>
      <c r="H77" s="1113"/>
      <c r="I77" s="1228">
        <f>INDEX(TEMPLATE_NUMBER_POINT_FHD,B77,MATCH(TEMPLATE_SPHERE,TEMPLATE_SPHERE_LIST_FOR_NOTE,0))</f>
        <v>0</v>
      </c>
      <c r="J77" s="1228">
        <f>INDEX(TEMPLATE_DATA_POINT_FHD,B77,MATCH(TEMPLATE_SPHERE,TEMPLATE_SPHERE_LIST_FOR_NOTE,0))</f>
        <v>0</v>
      </c>
      <c r="K77" s="1228">
        <f>INDEX(TEMPLATE_NOTE_POINT_FHD,B77,MATCH(TEMPLATE_SPHERE,TEMPLATE_SPHERE_LIST_FOR_NOTE,0))</f>
        <v>0</v>
      </c>
      <c r="L77" s="1066" t="str">
        <f>IF(I77=0,"",I77)</f>
        <v/>
      </c>
      <c r="M77" s="1066" t="str">
        <f>IF(J77=0,"",J77)</f>
        <v/>
      </c>
      <c r="N77" s="1066" t="str">
        <f>IF(K77=0,"",K77)</f>
        <v/>
      </c>
      <c r="O77" s="1180"/>
      <c r="P77" s="1180"/>
      <c r="Q77" s="1180"/>
      <c r="R77" s="1180" t="s">
        <v>131</v>
      </c>
      <c r="S77" s="1180"/>
      <c r="T77" s="1065"/>
      <c r="U77" s="1065"/>
      <c r="V77" s="1065"/>
      <c r="W77" s="1065" t="s">
        <v>2208</v>
      </c>
      <c r="X77" s="1065"/>
      <c r="Y77" s="1223"/>
      <c r="Z77" s="1068"/>
      <c r="AA77" s="1071"/>
      <c r="AB77" s="1068"/>
      <c r="AC77" s="1068"/>
      <c r="AD77" s="1068"/>
    </row>
    <row customHeight="1" ht="72">
      <c r="A78" s="1067"/>
      <c r="B78" s="1121">
        <v>61</v>
      </c>
      <c r="C78" s="1065" t="s">
        <v>2184</v>
      </c>
      <c r="D78" s="1190"/>
      <c r="E78" s="1065"/>
      <c r="F78" s="1065"/>
      <c r="G78" s="1065"/>
      <c r="H78" s="1113"/>
      <c r="I78" s="1228">
        <f>INDEX(TEMPLATE_NUMBER_POINT_FHD,B78,MATCH(TEMPLATE_SPHERE,TEMPLATE_SPHERE_LIST_FOR_NOTE,0))</f>
        <v>0</v>
      </c>
      <c r="J78" s="1228">
        <f>INDEX(TEMPLATE_DATA_POINT_FHD,B78,MATCH(TEMPLATE_SPHERE,TEMPLATE_SPHERE_LIST_FOR_NOTE,0))</f>
        <v>0</v>
      </c>
      <c r="K78" s="1228">
        <f>INDEX(TEMPLATE_NOTE_POINT_FHD,B78,MATCH(TEMPLATE_SPHERE,TEMPLATE_SPHERE_LIST_FOR_NOTE,0))</f>
        <v>0</v>
      </c>
      <c r="L78" s="1066" t="str">
        <f>IF(I78=0,"",I78)</f>
        <v/>
      </c>
      <c r="M78" s="1066" t="str">
        <f>IF(J78=0,"",J78)</f>
        <v/>
      </c>
      <c r="N78" s="1066" t="str">
        <f>IF(K78=0,"",K78)</f>
        <v/>
      </c>
      <c r="O78" s="1180" t="s">
        <v>89</v>
      </c>
      <c r="P78" s="1180"/>
      <c r="Q78" s="1180"/>
      <c r="R78" s="1180"/>
      <c r="S78" s="1180"/>
      <c r="T78" s="1065" t="s">
        <v>2209</v>
      </c>
      <c r="U78" s="1065"/>
      <c r="V78" s="1065"/>
      <c r="W78" s="1065"/>
      <c r="X78" s="1065"/>
      <c r="Y78" s="1223"/>
      <c r="Z78" s="1068" t="s">
        <v>2210</v>
      </c>
      <c r="AA78" s="1071"/>
      <c r="AB78" s="1068"/>
      <c r="AC78" s="1068"/>
      <c r="AD78" s="1068"/>
    </row>
    <row customHeight="1" ht="36">
      <c r="A79" s="1067"/>
      <c r="B79" s="1121">
        <v>62</v>
      </c>
      <c r="C79" s="1065" t="s">
        <v>2186</v>
      </c>
      <c r="D79" s="1190"/>
      <c r="E79" s="1065"/>
      <c r="F79" s="1065"/>
      <c r="G79" s="1065"/>
      <c r="H79" s="1113"/>
      <c r="I79" s="1228">
        <f>INDEX(TEMPLATE_NUMBER_POINT_FHD,B79,MATCH(TEMPLATE_SPHERE,TEMPLATE_SPHERE_LIST_FOR_NOTE,0))</f>
        <v>0</v>
      </c>
      <c r="J79" s="1228">
        <f>INDEX(TEMPLATE_DATA_POINT_FHD,B79,MATCH(TEMPLATE_SPHERE,TEMPLATE_SPHERE_LIST_FOR_NOTE,0))</f>
        <v>0</v>
      </c>
      <c r="K79" s="1228">
        <f>INDEX(TEMPLATE_NOTE_POINT_FHD,B79,MATCH(TEMPLATE_SPHERE,TEMPLATE_SPHERE_LIST_FOR_NOTE,0))</f>
        <v>0</v>
      </c>
      <c r="L79" s="1066" t="str">
        <f>IF(I79=0,"",I79)</f>
        <v/>
      </c>
      <c r="M79" s="1066" t="str">
        <f>IF(J79=0,"",J79)</f>
        <v/>
      </c>
      <c r="N79" s="1066" t="str">
        <f>IF(K79=0,"",K79)</f>
        <v/>
      </c>
      <c r="O79" s="1180" t="s">
        <v>126</v>
      </c>
      <c r="P79" s="1180"/>
      <c r="Q79" s="1180"/>
      <c r="R79" s="1180"/>
      <c r="S79" s="1180"/>
      <c r="T79" s="1065" t="s">
        <v>2211</v>
      </c>
      <c r="U79" s="1065"/>
      <c r="V79" s="1065"/>
      <c r="W79" s="1065"/>
      <c r="X79" s="1065"/>
      <c r="Y79" s="1223"/>
      <c r="Z79" s="1068" t="s">
        <v>2212</v>
      </c>
      <c r="AA79" s="1071"/>
      <c r="AB79" s="1068"/>
      <c r="AC79" s="1068"/>
      <c r="AD79" s="1068"/>
    </row>
    <row customHeight="1" ht="45">
      <c r="A80" s="1067"/>
      <c r="B80" s="1121">
        <v>63</v>
      </c>
      <c r="C80" s="1065" t="s">
        <v>2188</v>
      </c>
      <c r="D80" s="1190"/>
      <c r="E80" s="1065"/>
      <c r="F80" s="1065"/>
      <c r="G80" s="1065"/>
      <c r="H80" s="1113"/>
      <c r="I80" s="1228">
        <f>INDEX(TEMPLATE_NUMBER_POINT_FHD,B80,MATCH(TEMPLATE_SPHERE,TEMPLATE_SPHERE_LIST_FOR_NOTE,0))</f>
        <v>0</v>
      </c>
      <c r="J80" s="1228">
        <f>INDEX(TEMPLATE_DATA_POINT_FHD,B80,MATCH(TEMPLATE_SPHERE,TEMPLATE_SPHERE_LIST_FOR_NOTE,0))</f>
        <v>0</v>
      </c>
      <c r="K80" s="1228">
        <f>INDEX(TEMPLATE_NOTE_POINT_FHD,B80,MATCH(TEMPLATE_SPHERE,TEMPLATE_SPHERE_LIST_FOR_NOTE,0))</f>
        <v>0</v>
      </c>
      <c r="L80" s="1066" t="str">
        <f>IF(I80=0,"",I80)</f>
        <v/>
      </c>
      <c r="M80" s="1066" t="str">
        <f>IF(J80=0,"",J80)</f>
        <v/>
      </c>
      <c r="N80" s="1066" t="str">
        <f>IF(K80=0,"",K80)</f>
        <v/>
      </c>
      <c r="O80" s="1180" t="s">
        <v>131</v>
      </c>
      <c r="P80" s="1180"/>
      <c r="Q80" s="1180"/>
      <c r="R80" s="1180"/>
      <c r="S80" s="1180"/>
      <c r="T80" s="1065" t="s">
        <v>2213</v>
      </c>
      <c r="U80" s="1065"/>
      <c r="V80" s="1065"/>
      <c r="W80" s="1065"/>
      <c r="X80" s="1065"/>
      <c r="Y80" s="1223"/>
      <c r="Z80" s="1068" t="s">
        <v>2214</v>
      </c>
      <c r="AA80" s="1071"/>
      <c r="AB80" s="1068"/>
      <c r="AC80" s="1068"/>
      <c r="AD80" s="1068"/>
    </row>
    <row customHeight="1" ht="36">
      <c r="A81" s="1067"/>
      <c r="B81" s="1121">
        <v>64</v>
      </c>
      <c r="C81" s="1065" t="s">
        <v>2190</v>
      </c>
      <c r="D81" s="1190"/>
      <c r="E81" s="1065"/>
      <c r="F81" s="1065"/>
      <c r="G81" s="1065"/>
      <c r="H81" s="1113"/>
      <c r="I81" s="1228">
        <f>INDEX(TEMPLATE_NUMBER_POINT_FHD,B81,MATCH(TEMPLATE_SPHERE,TEMPLATE_SPHERE_LIST_FOR_NOTE,0))</f>
        <v>0</v>
      </c>
      <c r="J81" s="1228">
        <f>INDEX(TEMPLATE_DATA_POINT_FHD,B81,MATCH(TEMPLATE_SPHERE,TEMPLATE_SPHERE_LIST_FOR_NOTE,0))</f>
        <v>0</v>
      </c>
      <c r="K81" s="1228">
        <f>INDEX(TEMPLATE_NOTE_POINT_FHD,B81,MATCH(TEMPLATE_SPHERE,TEMPLATE_SPHERE_LIST_FOR_NOTE,0))</f>
        <v>0</v>
      </c>
      <c r="L81" s="1066" t="str">
        <f>IF(I81=0,"",I81)</f>
        <v/>
      </c>
      <c r="M81" s="1066" t="str">
        <f>IF(J81=0,"",J81)</f>
        <v/>
      </c>
      <c r="N81" s="1066" t="str">
        <f>IF(K81=0,"",K81)</f>
        <v/>
      </c>
      <c r="O81" s="1180" t="s">
        <v>2093</v>
      </c>
      <c r="P81" s="1180"/>
      <c r="Q81" s="1180"/>
      <c r="R81" s="1180"/>
      <c r="S81" s="1180"/>
      <c r="T81" s="1065" t="s">
        <v>2215</v>
      </c>
      <c r="U81" s="1065"/>
      <c r="V81" s="1065"/>
      <c r="W81" s="1065"/>
      <c r="X81" s="1065"/>
      <c r="Y81" s="1223"/>
      <c r="Z81" s="1068" t="s">
        <v>2216</v>
      </c>
      <c r="AA81" s="1071"/>
      <c r="AB81" s="1068"/>
      <c r="AC81" s="1068"/>
      <c r="AD81" s="1068"/>
    </row>
    <row customHeight="1" ht="90">
      <c r="A82" s="1067"/>
      <c r="B82" s="1121">
        <v>65</v>
      </c>
      <c r="C82" s="1065" t="s">
        <v>2199</v>
      </c>
      <c r="D82" s="1190"/>
      <c r="E82" s="1065"/>
      <c r="F82" s="1065"/>
      <c r="G82" s="1065"/>
      <c r="H82" s="1113"/>
      <c r="I82" s="1228">
        <f>INDEX(TEMPLATE_NUMBER_POINT_FHD,B82,MATCH(TEMPLATE_SPHERE,TEMPLATE_SPHERE_LIST_FOR_NOTE,0))</f>
        <v>0</v>
      </c>
      <c r="J82" s="1228">
        <f>INDEX(TEMPLATE_DATA_POINT_FHD,B82,MATCH(TEMPLATE_SPHERE,TEMPLATE_SPHERE_LIST_FOR_NOTE,0))</f>
        <v>0</v>
      </c>
      <c r="K82" s="1228">
        <f>INDEX(TEMPLATE_NOTE_POINT_FHD,B82,MATCH(TEMPLATE_SPHERE,TEMPLATE_SPHERE_LIST_FOR_NOTE,0))</f>
        <v>0</v>
      </c>
      <c r="L82" s="1066" t="str">
        <f>IF(I82=0,"",I82)</f>
        <v/>
      </c>
      <c r="M82" s="1066" t="str">
        <f>IF(J82=0,"",J82)</f>
        <v/>
      </c>
      <c r="N82" s="1066" t="str">
        <f>IF(K82=0,"",K82)</f>
        <v/>
      </c>
      <c r="O82" s="1180" t="s">
        <v>136</v>
      </c>
      <c r="P82" s="1180"/>
      <c r="Q82" s="1180"/>
      <c r="R82" s="1180"/>
      <c r="S82" s="1180"/>
      <c r="T82" s="1065" t="s">
        <v>2217</v>
      </c>
      <c r="U82" s="1065"/>
      <c r="V82" s="1065"/>
      <c r="W82" s="1065"/>
      <c r="X82" s="1065"/>
      <c r="Y82" s="1223"/>
      <c r="Z82" s="1068" t="s">
        <v>2218</v>
      </c>
      <c r="AA82" s="1071"/>
      <c r="AB82" s="1068"/>
      <c r="AC82" s="1068"/>
      <c r="AD82" s="1068"/>
    </row>
    <row customHeight="1" ht="9">
      <c r="A83" s="1067"/>
      <c r="B83" s="1121">
        <v>66</v>
      </c>
      <c r="C83" s="1065"/>
      <c r="D83" s="1190"/>
      <c r="E83" s="1065"/>
      <c r="F83" s="1065"/>
      <c r="G83" s="1065"/>
      <c r="H83" s="1113"/>
      <c r="I83" s="1228">
        <f>INDEX(TEMPLATE_NUMBER_POINT_FHD,B83,MATCH(TEMPLATE_SPHERE,TEMPLATE_SPHERE_LIST_FOR_NOTE,0))</f>
        <v>0</v>
      </c>
      <c r="J83" s="1228">
        <f>INDEX(TEMPLATE_DATA_POINT_FHD,B83,MATCH(TEMPLATE_SPHERE,TEMPLATE_SPHERE_LIST_FOR_NOTE,0))</f>
        <v>0</v>
      </c>
      <c r="K83" s="1228">
        <f>INDEX(TEMPLATE_NOTE_POINT_FHD,B83,MATCH(TEMPLATE_SPHERE,TEMPLATE_SPHERE_LIST_FOR_NOTE,0))</f>
        <v>0</v>
      </c>
      <c r="L83" s="1066" t="str">
        <f>IF(I83=0,"",I83)</f>
        <v/>
      </c>
      <c r="M83" s="1066" t="str">
        <f>IF(J83=0,"",J83)</f>
        <v/>
      </c>
      <c r="N83" s="1066" t="str">
        <f>IF(K83=0,"",K83)</f>
        <v/>
      </c>
      <c r="O83" s="1180" t="s">
        <v>2102</v>
      </c>
      <c r="P83" s="1180"/>
      <c r="Q83" s="1180"/>
      <c r="R83" s="1180"/>
      <c r="S83" s="1180"/>
      <c r="T83" s="1065" t="s">
        <v>2219</v>
      </c>
      <c r="U83" s="1065"/>
      <c r="V83" s="1065"/>
      <c r="W83" s="1065"/>
      <c r="X83" s="1065"/>
      <c r="Y83" s="1223"/>
      <c r="Z83" s="1068"/>
      <c r="AA83" s="1071"/>
      <c r="AB83" s="1068"/>
      <c r="AC83" s="1068"/>
      <c r="AD83" s="1068"/>
    </row>
    <row customHeight="1" ht="54">
      <c r="A84" s="1067"/>
      <c r="B84" s="1121">
        <v>67</v>
      </c>
      <c r="C84" s="1065"/>
      <c r="D84" s="1190"/>
      <c r="E84" s="1065"/>
      <c r="F84" s="1065"/>
      <c r="G84" s="1065"/>
      <c r="H84" s="1113"/>
      <c r="I84" s="1228">
        <f>INDEX(TEMPLATE_NUMBER_POINT_FHD,B84,MATCH(TEMPLATE_SPHERE,TEMPLATE_SPHERE_LIST_FOR_NOTE,0))</f>
        <v>0</v>
      </c>
      <c r="J84" s="1228">
        <f>INDEX(TEMPLATE_DATA_POINT_FHD,B84,MATCH(TEMPLATE_SPHERE,TEMPLATE_SPHERE_LIST_FOR_NOTE,0))</f>
        <v>0</v>
      </c>
      <c r="K84" s="1228">
        <f>INDEX(TEMPLATE_NOTE_POINT_FHD,B84,MATCH(TEMPLATE_SPHERE,TEMPLATE_SPHERE_LIST_FOR_NOTE,0))</f>
        <v>0</v>
      </c>
      <c r="L84" s="1066" t="str">
        <f>IF(I84=0,"",I84)</f>
        <v/>
      </c>
      <c r="M84" s="1066" t="str">
        <f>IF(J84=0,"",J84)</f>
        <v/>
      </c>
      <c r="N84" s="1066" t="str">
        <f>IF(K84=0,"",K84)</f>
        <v/>
      </c>
      <c r="O84" s="1180" t="s">
        <v>2220</v>
      </c>
      <c r="P84" s="1180"/>
      <c r="Q84" s="1180"/>
      <c r="R84" s="1180"/>
      <c r="S84" s="1180"/>
      <c r="T84" s="1065" t="s">
        <v>2221</v>
      </c>
      <c r="U84" s="1065"/>
      <c r="V84" s="1065"/>
      <c r="W84" s="1065"/>
      <c r="X84" s="1065"/>
      <c r="Y84" s="1223"/>
      <c r="Z84" s="1068"/>
      <c r="AA84" s="1071"/>
      <c r="AB84" s="1068"/>
      <c r="AC84" s="1068"/>
      <c r="AD84" s="1068"/>
    </row>
    <row customHeight="1" ht="9">
      <c r="A85" s="1067"/>
      <c r="B85" s="1121">
        <v>68</v>
      </c>
      <c r="C85" s="1065"/>
      <c r="D85" s="1190"/>
      <c r="E85" s="1065"/>
      <c r="F85" s="1065"/>
      <c r="G85" s="1065"/>
      <c r="H85" s="1113"/>
      <c r="I85" s="1228">
        <f>INDEX(TEMPLATE_NUMBER_POINT_FHD,B85,MATCH(TEMPLATE_SPHERE,TEMPLATE_SPHERE_LIST_FOR_NOTE,0))</f>
        <v>0</v>
      </c>
      <c r="J85" s="1228">
        <f>INDEX(TEMPLATE_DATA_POINT_FHD,B85,MATCH(TEMPLATE_SPHERE,TEMPLATE_SPHERE_LIST_FOR_NOTE,0))</f>
        <v>0</v>
      </c>
      <c r="K85" s="1228">
        <f>INDEX(TEMPLATE_NOTE_POINT_FHD,B85,MATCH(TEMPLATE_SPHERE,TEMPLATE_SPHERE_LIST_FOR_NOTE,0))</f>
        <v>0</v>
      </c>
      <c r="L85" s="1066" t="str">
        <f>IF(I85=0,"",I85)</f>
        <v/>
      </c>
      <c r="M85" s="1066" t="str">
        <f>IF(J85=0,"",J85)</f>
        <v/>
      </c>
      <c r="N85" s="1066" t="str">
        <f>IF(K85=0,"",K85)</f>
        <v/>
      </c>
      <c r="O85" s="1180" t="s">
        <v>2106</v>
      </c>
      <c r="P85" s="1180"/>
      <c r="Q85" s="1180"/>
      <c r="R85" s="1180"/>
      <c r="S85" s="1180"/>
      <c r="T85" s="1065" t="s">
        <v>2222</v>
      </c>
      <c r="U85" s="1065"/>
      <c r="V85" s="1065"/>
      <c r="W85" s="1065"/>
      <c r="X85" s="1065"/>
      <c r="Y85" s="1223"/>
      <c r="Z85" s="1068"/>
      <c r="AA85" s="1071"/>
      <c r="AB85" s="1068"/>
      <c r="AC85" s="1068"/>
      <c r="AD85" s="1068"/>
    </row>
    <row customHeight="1" ht="27">
      <c r="A86" s="1067"/>
      <c r="B86" s="1121">
        <v>69</v>
      </c>
      <c r="C86" s="1065"/>
      <c r="D86" s="1190"/>
      <c r="E86" s="1065"/>
      <c r="F86" s="1065"/>
      <c r="G86" s="1065"/>
      <c r="H86" s="1113"/>
      <c r="I86" s="1228">
        <f>INDEX(TEMPLATE_NUMBER_POINT_FHD,B86,MATCH(TEMPLATE_SPHERE,TEMPLATE_SPHERE_LIST_FOR_NOTE,0))</f>
        <v>0</v>
      </c>
      <c r="J86" s="1228">
        <f>INDEX(TEMPLATE_DATA_POINT_FHD,B86,MATCH(TEMPLATE_SPHERE,TEMPLATE_SPHERE_LIST_FOR_NOTE,0))</f>
        <v>0</v>
      </c>
      <c r="K86" s="1228">
        <f>INDEX(TEMPLATE_NOTE_POINT_FHD,B86,MATCH(TEMPLATE_SPHERE,TEMPLATE_SPHERE_LIST_FOR_NOTE,0))</f>
        <v>0</v>
      </c>
      <c r="L86" s="1066" t="str">
        <f>IF(I86=0,"",I86)</f>
        <v/>
      </c>
      <c r="M86" s="1066" t="str">
        <f>IF(J86=0,"",J86)</f>
        <v/>
      </c>
      <c r="N86" s="1066" t="str">
        <f>IF(K86=0,"",K86)</f>
        <v/>
      </c>
      <c r="O86" s="1180" t="s">
        <v>2223</v>
      </c>
      <c r="P86" s="1180"/>
      <c r="Q86" s="1180"/>
      <c r="R86" s="1180"/>
      <c r="S86" s="1180"/>
      <c r="T86" s="1065" t="s">
        <v>2224</v>
      </c>
      <c r="U86" s="1065"/>
      <c r="V86" s="1065"/>
      <c r="W86" s="1065"/>
      <c r="X86" s="1065"/>
      <c r="Y86" s="1223"/>
      <c r="Z86" s="1068"/>
      <c r="AA86" s="1071"/>
      <c r="AB86" s="1068"/>
      <c r="AC86" s="1068"/>
      <c r="AD86" s="1068"/>
    </row>
    <row customHeight="1" ht="36">
      <c r="A87" s="1067"/>
      <c r="B87" s="1121">
        <v>70</v>
      </c>
      <c r="C87" s="1065" t="s">
        <v>2225</v>
      </c>
      <c r="D87" s="1190"/>
      <c r="E87" s="1065"/>
      <c r="F87" s="1065"/>
      <c r="G87" s="1065"/>
      <c r="H87" s="1113"/>
      <c r="I87" s="1228">
        <f>INDEX(TEMPLATE_NUMBER_POINT_FHD,B87,MATCH(TEMPLATE_SPHERE,TEMPLATE_SPHERE_LIST_FOR_NOTE,0))</f>
        <v>0</v>
      </c>
      <c r="J87" s="1228">
        <f>INDEX(TEMPLATE_DATA_POINT_FHD,B87,MATCH(TEMPLATE_SPHERE,TEMPLATE_SPHERE_LIST_FOR_NOTE,0))</f>
        <v>0</v>
      </c>
      <c r="K87" s="1228">
        <f>INDEX(TEMPLATE_NOTE_POINT_FHD,B87,MATCH(TEMPLATE_SPHERE,TEMPLATE_SPHERE_LIST_FOR_NOTE,0))</f>
        <v>0</v>
      </c>
      <c r="L87" s="1066" t="str">
        <f>IF(I87=0,"",I87)</f>
        <v/>
      </c>
      <c r="M87" s="1066" t="str">
        <f>IF(J87=0,"",J87)</f>
        <v/>
      </c>
      <c r="N87" s="1066" t="str">
        <f>IF(K87=0,"",K87)</f>
        <v/>
      </c>
      <c r="O87" s="1180" t="s">
        <v>141</v>
      </c>
      <c r="P87" s="1180"/>
      <c r="Q87" s="1180"/>
      <c r="R87" s="1180"/>
      <c r="S87" s="1180"/>
      <c r="T87" s="1065" t="s">
        <v>2226</v>
      </c>
      <c r="U87" s="1065"/>
      <c r="V87" s="1065"/>
      <c r="W87" s="1065"/>
      <c r="X87" s="1065"/>
      <c r="Y87" s="1223"/>
      <c r="Z87" s="1068"/>
      <c r="AA87" s="1071"/>
      <c r="AB87" s="1068"/>
      <c r="AC87" s="1068"/>
      <c r="AD87" s="1068"/>
    </row>
    <row customHeight="1" ht="18">
      <c r="A88" s="1067"/>
      <c r="B88" s="1121">
        <v>71</v>
      </c>
      <c r="C88" s="1065" t="s">
        <v>2227</v>
      </c>
      <c r="D88" s="1190"/>
      <c r="E88" s="1065"/>
      <c r="F88" s="1065"/>
      <c r="G88" s="1065"/>
      <c r="H88" s="1113"/>
      <c r="I88" s="1228">
        <f>INDEX(TEMPLATE_NUMBER_POINT_FHD,B88,MATCH(TEMPLATE_SPHERE,TEMPLATE_SPHERE_LIST_FOR_NOTE,0))</f>
        <v>0</v>
      </c>
      <c r="J88" s="1228">
        <f>INDEX(TEMPLATE_DATA_POINT_FHD,B88,MATCH(TEMPLATE_SPHERE,TEMPLATE_SPHERE_LIST_FOR_NOTE,0))</f>
        <v>0</v>
      </c>
      <c r="K88" s="1228">
        <f>INDEX(TEMPLATE_NOTE_POINT_FHD,B88,MATCH(TEMPLATE_SPHERE,TEMPLATE_SPHERE_LIST_FOR_NOTE,0))</f>
        <v>0</v>
      </c>
      <c r="L88" s="1066" t="str">
        <f>IF(I88=0,"",I88)</f>
        <v/>
      </c>
      <c r="M88" s="1066" t="str">
        <f>IF(J88=0,"",J88)</f>
        <v/>
      </c>
      <c r="N88" s="1066" t="str">
        <f>IF(K88=0,"",K88)</f>
        <v/>
      </c>
      <c r="O88" s="1180" t="s">
        <v>147</v>
      </c>
      <c r="P88" s="1180"/>
      <c r="Q88" s="1180"/>
      <c r="R88" s="1180"/>
      <c r="S88" s="1180"/>
      <c r="T88" s="1065" t="s">
        <v>2228</v>
      </c>
      <c r="U88" s="1065"/>
      <c r="V88" s="1065"/>
      <c r="W88" s="1065"/>
      <c r="X88" s="1065"/>
      <c r="Y88" s="1223"/>
      <c r="Z88" s="1068"/>
      <c r="AA88" s="1071"/>
      <c r="AB88" s="1068"/>
      <c r="AC88" s="1068"/>
      <c r="AD88" s="1068"/>
    </row>
    <row customHeight="1" ht="18">
      <c r="A89" s="1067"/>
      <c r="B89" s="1121">
        <v>72</v>
      </c>
      <c r="C89" s="1065" t="s">
        <v>2229</v>
      </c>
      <c r="D89" s="1190" t="s">
        <v>2225</v>
      </c>
      <c r="E89" s="1065" t="s">
        <v>2225</v>
      </c>
      <c r="F89" s="1065" t="s">
        <v>2190</v>
      </c>
      <c r="G89" s="1065"/>
      <c r="H89" s="1113"/>
      <c r="I89" s="1228" t="str">
        <f>INDEX(TEMPLATE_NUMBER_POINT_FHD,B89,MATCH(TEMPLATE_SPHERE,TEMPLATE_SPHERE_LIST_FOR_NOTE,0))</f>
        <v>12</v>
      </c>
      <c r="J89" s="1228" t="str">
        <f>INDEX(TEMPLATE_DATA_POINT_FHD,B89,MATCH(TEMPLATE_SPHERE,TEMPLATE_SPHERE_LIST_FOR_NOTE,0))</f>
        <v>Среднесписочная численность основного производственного персонала</v>
      </c>
      <c r="K89" s="1228">
        <f>INDEX(TEMPLATE_NOTE_POINT_FHD,B89,MATCH(TEMPLATE_SPHERE,TEMPLATE_SPHERE_LIST_FOR_NOTE,0))</f>
        <v>0</v>
      </c>
      <c r="L89" s="1066" t="str">
        <f>IF(I89=0,"",I89)</f>
        <v>12</v>
      </c>
      <c r="M89" s="1066" t="str">
        <f>IF(J89=0,"",J89)</f>
        <v>Среднесписочная численность основного производственного персонала</v>
      </c>
      <c r="N89" s="1066" t="str">
        <f>IF(K89=0,"",K89)</f>
        <v/>
      </c>
      <c r="O89" s="1180" t="s">
        <v>151</v>
      </c>
      <c r="P89" s="1180" t="s">
        <v>147</v>
      </c>
      <c r="Q89" s="1180" t="s">
        <v>147</v>
      </c>
      <c r="R89" s="1180" t="s">
        <v>136</v>
      </c>
      <c r="S89" s="1180"/>
      <c r="T89" s="1065" t="s">
        <v>2230</v>
      </c>
      <c r="U89" s="1065" t="s">
        <v>2230</v>
      </c>
      <c r="V89" s="1065" t="s">
        <v>2230</v>
      </c>
      <c r="W89" s="1065" t="s">
        <v>2230</v>
      </c>
      <c r="X89" s="1065"/>
      <c r="Y89" s="1223"/>
      <c r="Z89" s="1068"/>
      <c r="AA89" s="1071"/>
      <c r="AB89" s="1068"/>
      <c r="AC89" s="1068"/>
      <c r="AD89" s="1068"/>
    </row>
    <row customHeight="1" ht="27">
      <c r="A90" s="1067"/>
      <c r="B90" s="1121">
        <v>73</v>
      </c>
      <c r="C90" s="1065" t="s">
        <v>2231</v>
      </c>
      <c r="D90" s="1190"/>
      <c r="E90" s="1065"/>
      <c r="F90" s="1065"/>
      <c r="G90" s="1065"/>
      <c r="H90" s="1113"/>
      <c r="I90" s="1228">
        <f>INDEX(TEMPLATE_NUMBER_POINT_FHD,B90,MATCH(TEMPLATE_SPHERE,TEMPLATE_SPHERE_LIST_FOR_NOTE,0))</f>
        <v>0</v>
      </c>
      <c r="J90" s="1228">
        <f>INDEX(TEMPLATE_DATA_POINT_FHD,B90,MATCH(TEMPLATE_SPHERE,TEMPLATE_SPHERE_LIST_FOR_NOTE,0))</f>
        <v>0</v>
      </c>
      <c r="K90" s="1228">
        <f>INDEX(TEMPLATE_NOTE_POINT_FHD,B90,MATCH(TEMPLATE_SPHERE,TEMPLATE_SPHERE_LIST_FOR_NOTE,0))</f>
        <v>0</v>
      </c>
      <c r="L90" s="1066" t="str">
        <f>IF(I90=0,"",I90)</f>
        <v/>
      </c>
      <c r="M90" s="1066" t="str">
        <f>IF(J90=0,"",J90)</f>
        <v/>
      </c>
      <c r="N90" s="1066" t="str">
        <f>IF(K90=0,"",K90)</f>
        <v/>
      </c>
      <c r="O90" s="1180" t="s">
        <v>156</v>
      </c>
      <c r="P90" s="1180"/>
      <c r="Q90" s="1180"/>
      <c r="R90" s="1180"/>
      <c r="S90" s="1180"/>
      <c r="T90" s="1065" t="s">
        <v>2232</v>
      </c>
      <c r="U90" s="1065"/>
      <c r="V90" s="1065"/>
      <c r="W90" s="1065"/>
      <c r="X90" s="1065"/>
      <c r="Y90" s="1223"/>
      <c r="Z90" s="1068"/>
      <c r="AA90" s="1071"/>
      <c r="AB90" s="1068"/>
      <c r="AC90" s="1068"/>
      <c r="AD90" s="1068"/>
    </row>
    <row customHeight="1" ht="18">
      <c r="A91" s="1067"/>
      <c r="B91" s="1121">
        <v>74</v>
      </c>
      <c r="C91" s="1065"/>
      <c r="D91" s="1190" t="s">
        <v>2227</v>
      </c>
      <c r="E91" s="1065" t="s">
        <v>2227</v>
      </c>
      <c r="F91" s="1065"/>
      <c r="G91" s="1065"/>
      <c r="H91" s="1113"/>
      <c r="I91" s="1228" t="str">
        <f>INDEX(TEMPLATE_NUMBER_POINT_FHD,B91,MATCH(TEMPLATE_SPHERE,TEMPLATE_SPHERE_LIST_FOR_NOTE,0))</f>
        <v>13</v>
      </c>
      <c r="J91" s="1228" t="str">
        <f>INDEX(TEMPLATE_DATA_POINT_FHD,B91,MATCH(TEMPLATE_SPHERE,TEMPLATE_SPHERE_LIST_FOR_NOTE,0))</f>
        <v>Удельный расход электрической энергии на подачу воды в сеть</v>
      </c>
      <c r="K91" s="1228">
        <f>INDEX(TEMPLATE_NOTE_POINT_FHD,B91,MATCH(TEMPLATE_SPHERE,TEMPLATE_SPHERE_LIST_FOR_NOTE,0))</f>
        <v>0</v>
      </c>
      <c r="L91" s="1066" t="str">
        <f>IF(I91=0,"",I91)</f>
        <v>13</v>
      </c>
      <c r="M91" s="1066" t="str">
        <f>IF(J91=0,"",J91)</f>
        <v>Удельный расход электрической энергии на подачу воды в сеть</v>
      </c>
      <c r="N91" s="1066" t="str">
        <f>IF(K91=0,"",K91)</f>
        <v/>
      </c>
      <c r="O91" s="1180"/>
      <c r="P91" s="1180" t="s">
        <v>151</v>
      </c>
      <c r="Q91" s="1180" t="s">
        <v>151</v>
      </c>
      <c r="R91" s="1180"/>
      <c r="S91" s="1180"/>
      <c r="T91" s="1065"/>
      <c r="U91" s="1065" t="s">
        <v>2233</v>
      </c>
      <c r="V91" s="1065" t="s">
        <v>2233</v>
      </c>
      <c r="W91" s="1065"/>
      <c r="X91" s="1065"/>
      <c r="Y91" s="1223"/>
      <c r="Z91" s="1068"/>
      <c r="AA91" s="1071"/>
      <c r="AB91" s="1068"/>
      <c r="AC91" s="1068"/>
      <c r="AD91" s="1068"/>
    </row>
    <row customHeight="1" ht="27">
      <c r="A92" s="1067"/>
      <c r="B92" s="1121">
        <v>75</v>
      </c>
      <c r="C92" s="1065"/>
      <c r="D92" s="1190" t="s">
        <v>2229</v>
      </c>
      <c r="E92" s="1065"/>
      <c r="F92" s="1065"/>
      <c r="G92" s="1065"/>
      <c r="H92" s="1113"/>
      <c r="I92" s="1228">
        <f>INDEX(TEMPLATE_NUMBER_POINT_FHD,B92,MATCH(TEMPLATE_SPHERE,TEMPLATE_SPHERE_LIST_FOR_NOTE,0))</f>
        <v>0</v>
      </c>
      <c r="J92" s="1228">
        <f>INDEX(TEMPLATE_DATA_POINT_FHD,B92,MATCH(TEMPLATE_SPHERE,TEMPLATE_SPHERE_LIST_FOR_NOTE,0))</f>
        <v>0</v>
      </c>
      <c r="K92" s="1228">
        <f>INDEX(TEMPLATE_NOTE_POINT_FHD,B92,MATCH(TEMPLATE_SPHERE,TEMPLATE_SPHERE_LIST_FOR_NOTE,0))</f>
        <v>0</v>
      </c>
      <c r="L92" s="1066" t="str">
        <f>IF(I92=0,"",I92)</f>
        <v/>
      </c>
      <c r="M92" s="1066" t="str">
        <f>IF(J92=0,"",J92)</f>
        <v/>
      </c>
      <c r="N92" s="1066" t="str">
        <f>IF(K92=0,"",K92)</f>
        <v/>
      </c>
      <c r="O92" s="1180"/>
      <c r="P92" s="1180" t="s">
        <v>156</v>
      </c>
      <c r="Q92" s="1180"/>
      <c r="R92" s="1180"/>
      <c r="S92" s="1180"/>
      <c r="T92" s="1065"/>
      <c r="U92" s="1065" t="s">
        <v>2234</v>
      </c>
      <c r="V92" s="1065"/>
      <c r="W92" s="1065"/>
      <c r="X92" s="1065"/>
      <c r="Y92" s="1223"/>
      <c r="Z92" s="1068"/>
      <c r="AA92" s="1071" t="s">
        <v>2235</v>
      </c>
      <c r="AB92" s="1068"/>
      <c r="AC92" s="1068"/>
      <c r="AD92" s="1068"/>
    </row>
    <row customHeight="1" ht="27">
      <c r="A93" s="1067"/>
      <c r="B93" s="1121">
        <v>76</v>
      </c>
      <c r="C93" s="1065"/>
      <c r="D93" s="1190"/>
      <c r="E93" s="1065"/>
      <c r="F93" s="1065"/>
      <c r="G93" s="1065"/>
      <c r="H93" s="1113"/>
      <c r="I93" s="1228">
        <f>INDEX(TEMPLATE_NUMBER_POINT_FHD,B93,MATCH(TEMPLATE_SPHERE,TEMPLATE_SPHERE_LIST_FOR_NOTE,0))</f>
        <v>0</v>
      </c>
      <c r="J93" s="1228">
        <f>INDEX(TEMPLATE_DATA_POINT_FHD,B93,MATCH(TEMPLATE_SPHERE,TEMPLATE_SPHERE_LIST_FOR_NOTE,0))</f>
        <v>0</v>
      </c>
      <c r="K93" s="1228">
        <f>INDEX(TEMPLATE_NOTE_POINT_FHD,B93,MATCH(TEMPLATE_SPHERE,TEMPLATE_SPHERE_LIST_FOR_NOTE,0))</f>
        <v>0</v>
      </c>
      <c r="L93" s="1066" t="str">
        <f>IF(I93=0,"",I93)</f>
        <v/>
      </c>
      <c r="M93" s="1066" t="str">
        <f>IF(J93=0,"",J93)</f>
        <v/>
      </c>
      <c r="N93" s="1066" t="str">
        <f>IF(K93=0,"",K93)</f>
        <v/>
      </c>
      <c r="O93" s="1180"/>
      <c r="P93" s="1180" t="s">
        <v>2134</v>
      </c>
      <c r="Q93" s="1180"/>
      <c r="R93" s="1180"/>
      <c r="S93" s="1180"/>
      <c r="T93" s="1065"/>
      <c r="U93" s="1065" t="s">
        <v>2236</v>
      </c>
      <c r="V93" s="1065"/>
      <c r="W93" s="1065"/>
      <c r="X93" s="1065"/>
      <c r="Y93" s="1223"/>
      <c r="Z93" s="1068"/>
      <c r="AA93" s="1071" t="s">
        <v>2237</v>
      </c>
      <c r="AB93" s="1068"/>
      <c r="AC93" s="1068"/>
      <c r="AD93" s="1068"/>
    </row>
    <row customHeight="1" ht="45">
      <c r="A94" s="1067"/>
      <c r="B94" s="1121">
        <v>77</v>
      </c>
      <c r="C94" s="1065"/>
      <c r="D94" s="1190" t="s">
        <v>2231</v>
      </c>
      <c r="E94" s="1065"/>
      <c r="F94" s="1065"/>
      <c r="G94" s="1065"/>
      <c r="H94" s="1113"/>
      <c r="I94" s="1228">
        <f>INDEX(TEMPLATE_NUMBER_POINT_FHD,B94,MATCH(TEMPLATE_SPHERE,TEMPLATE_SPHERE_LIST_FOR_NOTE,0))</f>
        <v>0</v>
      </c>
      <c r="J94" s="1228">
        <f>INDEX(TEMPLATE_DATA_POINT_FHD,B94,MATCH(TEMPLATE_SPHERE,TEMPLATE_SPHERE_LIST_FOR_NOTE,0))</f>
        <v>0</v>
      </c>
      <c r="K94" s="1228">
        <f>INDEX(TEMPLATE_NOTE_POINT_FHD,B94,MATCH(TEMPLATE_SPHERE,TEMPLATE_SPHERE_LIST_FOR_NOTE,0))</f>
        <v>0</v>
      </c>
      <c r="L94" s="1066" t="str">
        <f>IF(I94=0,"",I94)</f>
        <v/>
      </c>
      <c r="M94" s="1066" t="str">
        <f>IF(J94=0,"",J94)</f>
        <v/>
      </c>
      <c r="N94" s="1066" t="str">
        <f>IF(K94=0,"",K94)</f>
        <v/>
      </c>
      <c r="O94" s="1180"/>
      <c r="P94" s="1180" t="s">
        <v>1491</v>
      </c>
      <c r="Q94" s="1180"/>
      <c r="R94" s="1180"/>
      <c r="S94" s="1180"/>
      <c r="T94" s="1065"/>
      <c r="U94" s="1065" t="s">
        <v>2238</v>
      </c>
      <c r="V94" s="1065"/>
      <c r="W94" s="1065"/>
      <c r="X94" s="1065"/>
      <c r="Y94" s="1223"/>
      <c r="Z94" s="1068"/>
      <c r="AA94" s="1071" t="s">
        <v>2239</v>
      </c>
      <c r="AB94" s="1068"/>
      <c r="AC94" s="1068"/>
      <c r="AD94" s="1068"/>
    </row>
    <row customHeight="1" ht="99">
      <c r="A95" s="1067"/>
      <c r="B95" s="1121">
        <v>78</v>
      </c>
      <c r="C95" s="1065" t="s">
        <v>2240</v>
      </c>
      <c r="D95" s="1190"/>
      <c r="E95" s="1065"/>
      <c r="F95" s="1065"/>
      <c r="G95" s="1065"/>
      <c r="H95" s="1113"/>
      <c r="I95" s="1228">
        <f>INDEX(TEMPLATE_NUMBER_POINT_FHD,B95,MATCH(TEMPLATE_SPHERE,TEMPLATE_SPHERE_LIST_FOR_NOTE,0))</f>
        <v>0</v>
      </c>
      <c r="J95" s="1228">
        <f>INDEX(TEMPLATE_DATA_POINT_FHD,B95,MATCH(TEMPLATE_SPHERE,TEMPLATE_SPHERE_LIST_FOR_NOTE,0))</f>
        <v>0</v>
      </c>
      <c r="K95" s="1228">
        <f>INDEX(TEMPLATE_NOTE_POINT_FHD,B95,MATCH(TEMPLATE_SPHERE,TEMPLATE_SPHERE_LIST_FOR_NOTE,0))</f>
        <v>0</v>
      </c>
      <c r="L95" s="1066" t="str">
        <f>IF(I95=0,"",I95)</f>
        <v/>
      </c>
      <c r="M95" s="1066" t="str">
        <f>IF(J95=0,"",J95)</f>
        <v/>
      </c>
      <c r="N95" s="1066" t="str">
        <f>IF(K95=0,"",K95)</f>
        <v/>
      </c>
      <c r="O95" s="1180" t="s">
        <v>1491</v>
      </c>
      <c r="P95" s="1180"/>
      <c r="Q95" s="1180"/>
      <c r="R95" s="1180"/>
      <c r="S95" s="1180"/>
      <c r="T95" s="1065" t="s">
        <v>2241</v>
      </c>
      <c r="U95" s="1065"/>
      <c r="V95" s="1065"/>
      <c r="W95" s="1065"/>
      <c r="X95" s="1065"/>
      <c r="Y95" s="1223"/>
      <c r="Z95" s="1068"/>
      <c r="AA95" s="1071"/>
      <c r="AB95" s="1068"/>
      <c r="AC95" s="1068"/>
      <c r="AD95" s="1068"/>
    </row>
    <row customHeight="1" ht="99">
      <c r="A96" s="1067"/>
      <c r="B96" s="1121">
        <v>79</v>
      </c>
      <c r="C96" s="1065" t="s">
        <v>1171</v>
      </c>
      <c r="D96" s="1190"/>
      <c r="E96" s="1065"/>
      <c r="F96" s="1065"/>
      <c r="G96" s="1065"/>
      <c r="H96" s="1113"/>
      <c r="I96" s="1228">
        <f>INDEX(TEMPLATE_NUMBER_POINT_FHD,B96,MATCH(TEMPLATE_SPHERE,TEMPLATE_SPHERE_LIST_FOR_NOTE,0))</f>
        <v>0</v>
      </c>
      <c r="J96" s="1228">
        <f>INDEX(TEMPLATE_DATA_POINT_FHD,B96,MATCH(TEMPLATE_SPHERE,TEMPLATE_SPHERE_LIST_FOR_NOTE,0))</f>
        <v>0</v>
      </c>
      <c r="K96" s="1228">
        <f>INDEX(TEMPLATE_NOTE_POINT_FHD,B96,MATCH(TEMPLATE_SPHERE,TEMPLATE_SPHERE_LIST_FOR_NOTE,0))</f>
        <v>0</v>
      </c>
      <c r="L96" s="1066" t="str">
        <f>IF(I96=0,"",I96)</f>
        <v/>
      </c>
      <c r="M96" s="1066" t="str">
        <f>IF(J96=0,"",J96)</f>
        <v/>
      </c>
      <c r="N96" s="1066" t="str">
        <f>IF(K96=0,"",K96)</f>
        <v/>
      </c>
      <c r="O96" s="1180" t="s">
        <v>1497</v>
      </c>
      <c r="P96" s="1180"/>
      <c r="Q96" s="1180"/>
      <c r="R96" s="1180"/>
      <c r="S96" s="1180"/>
      <c r="T96" s="1065" t="s">
        <v>2242</v>
      </c>
      <c r="U96" s="1065"/>
      <c r="V96" s="1065"/>
      <c r="W96" s="1065"/>
      <c r="X96" s="1065"/>
      <c r="Y96" s="1223"/>
      <c r="Z96" s="1068" t="s">
        <v>2243</v>
      </c>
      <c r="AA96" s="1071"/>
      <c r="AB96" s="1068"/>
      <c r="AC96" s="1068"/>
      <c r="AD96" s="1068"/>
    </row>
    <row customHeight="1" ht="63">
      <c r="A97" s="1067"/>
      <c r="B97" s="1121">
        <v>80</v>
      </c>
      <c r="C97" s="1065" t="s">
        <v>2244</v>
      </c>
      <c r="D97" s="1190"/>
      <c r="E97" s="1065"/>
      <c r="F97" s="1065"/>
      <c r="G97" s="1065"/>
      <c r="H97" s="1113"/>
      <c r="I97" s="1228">
        <f>INDEX(TEMPLATE_NUMBER_POINT_FHD,B97,MATCH(TEMPLATE_SPHERE,TEMPLATE_SPHERE_LIST_FOR_NOTE,0))</f>
        <v>0</v>
      </c>
      <c r="J97" s="1228">
        <f>INDEX(TEMPLATE_DATA_POINT_FHD,B97,MATCH(TEMPLATE_SPHERE,TEMPLATE_SPHERE_LIST_FOR_NOTE,0))</f>
        <v>0</v>
      </c>
      <c r="K97" s="1228">
        <f>INDEX(TEMPLATE_NOTE_POINT_FHD,B97,MATCH(TEMPLATE_SPHERE,TEMPLATE_SPHERE_LIST_FOR_NOTE,0))</f>
        <v>0</v>
      </c>
      <c r="L97" s="1066" t="str">
        <f>IF(I97=0,"",I97)</f>
        <v/>
      </c>
      <c r="M97" s="1066" t="str">
        <f>IF(J97=0,"",J97)</f>
        <v/>
      </c>
      <c r="N97" s="1066" t="str">
        <f>IF(K97=0,"",K97)</f>
        <v/>
      </c>
      <c r="O97" s="1180" t="s">
        <v>1508</v>
      </c>
      <c r="P97" s="1180"/>
      <c r="Q97" s="1180"/>
      <c r="R97" s="1180"/>
      <c r="S97" s="1180"/>
      <c r="T97" s="1065" t="s">
        <v>2245</v>
      </c>
      <c r="U97" s="1065"/>
      <c r="V97" s="1065"/>
      <c r="W97" s="1065"/>
      <c r="X97" s="1065"/>
      <c r="Y97" s="1223"/>
      <c r="Z97" s="1068" t="s">
        <v>2246</v>
      </c>
      <c r="AA97" s="1071"/>
      <c r="AB97" s="1068"/>
      <c r="AC97" s="1068"/>
      <c r="AD97" s="1068"/>
    </row>
    <row customHeight="1" ht="63">
      <c r="A98" s="1067"/>
      <c r="B98" s="1121">
        <v>81</v>
      </c>
      <c r="C98" s="1065" t="s">
        <v>2247</v>
      </c>
      <c r="D98" s="1190"/>
      <c r="E98" s="1065"/>
      <c r="F98" s="1065"/>
      <c r="G98" s="1065"/>
      <c r="H98" s="1113"/>
      <c r="I98" s="1228">
        <f>INDEX(TEMPLATE_NUMBER_POINT_FHD,B98,MATCH(TEMPLATE_SPHERE,TEMPLATE_SPHERE_LIST_FOR_NOTE,0))</f>
        <v>0</v>
      </c>
      <c r="J98" s="1228">
        <f>INDEX(TEMPLATE_DATA_POINT_FHD,B98,MATCH(TEMPLATE_SPHERE,TEMPLATE_SPHERE_LIST_FOR_NOTE,0))</f>
        <v>0</v>
      </c>
      <c r="K98" s="1228">
        <f>INDEX(TEMPLATE_NOTE_POINT_FHD,B98,MATCH(TEMPLATE_SPHERE,TEMPLATE_SPHERE_LIST_FOR_NOTE,0))</f>
        <v>0</v>
      </c>
      <c r="L98" s="1066" t="str">
        <f>IF(I98=0,"",I98)</f>
        <v/>
      </c>
      <c r="M98" s="1066" t="str">
        <f>IF(J98=0,"",J98)</f>
        <v/>
      </c>
      <c r="N98" s="1066" t="str">
        <f>IF(K98=0,"",K98)</f>
        <v/>
      </c>
      <c r="O98" s="1180" t="s">
        <v>1522</v>
      </c>
      <c r="P98" s="1180"/>
      <c r="Q98" s="1180"/>
      <c r="R98" s="1180"/>
      <c r="S98" s="1180"/>
      <c r="T98" s="1065" t="s">
        <v>2248</v>
      </c>
      <c r="U98" s="1065"/>
      <c r="V98" s="1065"/>
      <c r="W98" s="1065"/>
      <c r="X98" s="1065"/>
      <c r="Y98" s="1223"/>
      <c r="Z98" s="1068" t="s">
        <v>2246</v>
      </c>
      <c r="AA98" s="1071"/>
      <c r="AB98" s="1068"/>
      <c r="AC98" s="1068"/>
      <c r="AD98" s="1068"/>
    </row>
    <row customHeight="1" ht="90">
      <c r="A99" s="1067"/>
      <c r="B99" s="1121">
        <v>82</v>
      </c>
      <c r="C99" s="1065" t="s">
        <v>2249</v>
      </c>
      <c r="D99" s="1190"/>
      <c r="E99" s="1065"/>
      <c r="F99" s="1065"/>
      <c r="G99" s="1065"/>
      <c r="H99" s="1113"/>
      <c r="I99" s="1228">
        <f>INDEX(TEMPLATE_NUMBER_POINT_FHD,B99,MATCH(TEMPLATE_SPHERE,TEMPLATE_SPHERE_LIST_FOR_NOTE,0))</f>
        <v>0</v>
      </c>
      <c r="J99" s="1228">
        <f>INDEX(TEMPLATE_DATA_POINT_FHD,B99,MATCH(TEMPLATE_SPHERE,TEMPLATE_SPHERE_LIST_FOR_NOTE,0))</f>
        <v>0</v>
      </c>
      <c r="K99" s="1228">
        <f>INDEX(TEMPLATE_NOTE_POINT_FHD,B99,MATCH(TEMPLATE_SPHERE,TEMPLATE_SPHERE_LIST_FOR_NOTE,0))</f>
        <v>0</v>
      </c>
      <c r="L99" s="1066" t="str">
        <f>IF(I99=0,"",I99)</f>
        <v/>
      </c>
      <c r="M99" s="1066" t="str">
        <f>IF(J99=0,"",J99)</f>
        <v/>
      </c>
      <c r="N99" s="1066" t="str">
        <f>IF(K99=0,"",K99)</f>
        <v/>
      </c>
      <c r="O99" s="1180" t="s">
        <v>1534</v>
      </c>
      <c r="P99" s="1180"/>
      <c r="Q99" s="1180"/>
      <c r="R99" s="1180"/>
      <c r="S99" s="1180"/>
      <c r="T99" s="1065" t="s">
        <v>2250</v>
      </c>
      <c r="U99" s="1065"/>
      <c r="V99" s="1065"/>
      <c r="W99" s="1065"/>
      <c r="X99" s="1065"/>
      <c r="Y99" s="1223"/>
      <c r="Z99" s="1068" t="s">
        <v>912</v>
      </c>
      <c r="AA99" s="1071"/>
      <c r="AB99" s="1068"/>
      <c r="AC99" s="1068"/>
      <c r="AD99" s="1068"/>
    </row>
    <row customHeight="1" ht="27">
      <c r="A100" s="1067"/>
      <c r="B100" s="1121">
        <v>83</v>
      </c>
      <c r="C100" s="1065"/>
      <c r="D100" s="1190"/>
      <c r="E100" s="1065"/>
      <c r="F100" s="1065"/>
      <c r="G100" s="1065"/>
      <c r="H100" s="1113"/>
      <c r="I100" s="1228">
        <f>INDEX(TEMPLATE_NUMBER_POINT_FHD,B100,MATCH(TEMPLATE_SPHERE,TEMPLATE_SPHERE_LIST_FOR_NOTE,0))</f>
        <v>0</v>
      </c>
      <c r="J100" s="1228">
        <f>INDEX(TEMPLATE_DATA_POINT_FHD,B100,MATCH(TEMPLATE_SPHERE,TEMPLATE_SPHERE_LIST_FOR_NOTE,0))</f>
        <v>0</v>
      </c>
      <c r="K100" s="1228">
        <f>INDEX(TEMPLATE_NOTE_POINT_FHD,B100,MATCH(TEMPLATE_SPHERE,TEMPLATE_SPHERE_LIST_FOR_NOTE,0))</f>
        <v>0</v>
      </c>
      <c r="L100" s="1066" t="str">
        <f>IF(I100=0,"",I100)</f>
        <v/>
      </c>
      <c r="M100" s="1066" t="str">
        <f>IF(J100=0,"",J100)</f>
        <v/>
      </c>
      <c r="N100" s="1066" t="str">
        <f>IF(K100=0,"",K100)</f>
        <v/>
      </c>
      <c r="O100" s="1180" t="s">
        <v>2251</v>
      </c>
      <c r="P100" s="1180"/>
      <c r="Q100" s="1180"/>
      <c r="R100" s="1180"/>
      <c r="S100" s="1180"/>
      <c r="T100" s="1065" t="s">
        <v>2252</v>
      </c>
      <c r="U100" s="1065"/>
      <c r="V100" s="1065"/>
      <c r="W100" s="1065"/>
      <c r="X100" s="1065"/>
      <c r="Y100" s="1223"/>
      <c r="Z100" s="1068" t="s">
        <v>912</v>
      </c>
      <c r="AA100" s="1071"/>
      <c r="AB100" s="1068"/>
      <c r="AC100" s="1068"/>
      <c r="AD100" s="1068"/>
    </row>
    <row customHeight="1" ht="27">
      <c r="A101" s="1067"/>
      <c r="B101" s="1121">
        <v>84</v>
      </c>
      <c r="C101" s="1065"/>
      <c r="D101" s="1190"/>
      <c r="E101" s="1065"/>
      <c r="F101" s="1065"/>
      <c r="G101" s="1065"/>
      <c r="H101" s="1113"/>
      <c r="I101" s="1228">
        <f>INDEX(TEMPLATE_NUMBER_POINT_FHD,B101,MATCH(TEMPLATE_SPHERE,TEMPLATE_SPHERE_LIST_FOR_NOTE,0))</f>
        <v>0</v>
      </c>
      <c r="J101" s="1228">
        <f>INDEX(TEMPLATE_DATA_POINT_FHD,B101,MATCH(TEMPLATE_SPHERE,TEMPLATE_SPHERE_LIST_FOR_NOTE,0))</f>
        <v>0</v>
      </c>
      <c r="K101" s="1228">
        <f>INDEX(TEMPLATE_NOTE_POINT_FHD,B101,MATCH(TEMPLATE_SPHERE,TEMPLATE_SPHERE_LIST_FOR_NOTE,0))</f>
        <v>0</v>
      </c>
      <c r="L101" s="1066" t="str">
        <f>IF(I101=0,"",I101)</f>
        <v/>
      </c>
      <c r="M101" s="1066" t="str">
        <f>IF(J101=0,"",J101)</f>
        <v/>
      </c>
      <c r="N101" s="1066" t="str">
        <f>IF(K101=0,"",K101)</f>
        <v/>
      </c>
      <c r="O101" s="1180" t="s">
        <v>2253</v>
      </c>
      <c r="P101" s="1180"/>
      <c r="Q101" s="1180"/>
      <c r="R101" s="1180"/>
      <c r="S101" s="1180"/>
      <c r="T101" s="1065" t="s">
        <v>2254</v>
      </c>
      <c r="U101" s="1065"/>
      <c r="V101" s="1065"/>
      <c r="W101" s="1065"/>
      <c r="X101" s="1065"/>
      <c r="Y101" s="1223"/>
      <c r="Z101" s="1068" t="s">
        <v>912</v>
      </c>
      <c r="AA101" s="1071"/>
      <c r="AB101" s="1068"/>
      <c r="AC101" s="1068"/>
      <c r="AD101" s="1068"/>
    </row>
    <row customHeight="1" ht="9">
      <c r="A102" s="1067"/>
      <c r="B102" s="1067"/>
      <c r="C102" s="1065"/>
      <c r="D102" s="1065"/>
      <c r="E102" s="1065"/>
      <c r="F102" s="1065"/>
      <c r="G102" s="1065"/>
      <c r="H102" s="1113"/>
      <c r="I102" s="1113"/>
      <c r="J102" s="1113"/>
      <c r="K102" s="1113"/>
      <c r="L102" s="1113"/>
      <c r="M102" s="1065"/>
      <c r="N102" s="1112"/>
      <c r="O102" s="1180"/>
      <c r="P102" s="1180"/>
      <c r="Q102" s="1180"/>
      <c r="R102" s="1180"/>
      <c r="S102" s="1065"/>
      <c r="T102" s="1065"/>
      <c r="U102" s="1065"/>
      <c r="V102" s="1065"/>
      <c r="W102" s="1065"/>
      <c r="X102" s="1065"/>
      <c r="Y102" s="1223"/>
      <c r="Z102" s="1068"/>
      <c r="AA102" s="1071"/>
      <c r="AB102" s="1068"/>
      <c r="AC102" s="1068"/>
      <c r="AD102" s="1068"/>
    </row>
    <row customHeight="1" ht="9">
      <c r="A103" s="1067"/>
      <c r="B103" s="1067"/>
      <c r="C103" s="1065"/>
      <c r="D103" s="1065"/>
      <c r="E103" s="1065"/>
      <c r="F103" s="1065"/>
      <c r="G103" s="1065"/>
      <c r="H103" s="1113"/>
      <c r="I103" s="1113"/>
      <c r="J103" s="1113"/>
      <c r="K103" s="1113"/>
      <c r="L103" s="1113"/>
      <c r="M103" s="1065"/>
      <c r="N103" s="1112"/>
      <c r="O103" s="1180"/>
      <c r="P103" s="1180"/>
      <c r="Q103" s="1180"/>
      <c r="R103" s="1180"/>
      <c r="S103" s="1065"/>
      <c r="T103" s="1065"/>
      <c r="U103" s="1065"/>
      <c r="V103" s="1065"/>
      <c r="W103" s="1065"/>
      <c r="X103" s="1065"/>
      <c r="Y103" s="1223"/>
      <c r="Z103" s="1068"/>
      <c r="AA103" s="1071"/>
      <c r="AB103" s="1068"/>
      <c r="AC103" s="1068"/>
      <c r="AD103" s="1068"/>
    </row>
    <row customHeight="1" ht="9">
      <c r="A104" s="1067"/>
      <c r="B104" s="1067"/>
      <c r="C104" s="1065"/>
      <c r="D104" s="1065"/>
      <c r="E104" s="1065"/>
      <c r="F104" s="1065"/>
      <c r="G104" s="1065"/>
      <c r="H104" s="1113"/>
      <c r="I104" s="1113"/>
      <c r="J104" s="1113"/>
      <c r="K104" s="1113"/>
      <c r="L104" s="1113"/>
      <c r="M104" s="1065"/>
      <c r="N104" s="1112"/>
      <c r="O104" s="1180"/>
      <c r="P104" s="1180"/>
      <c r="Q104" s="1180"/>
      <c r="R104" s="1180"/>
      <c r="S104" s="1065"/>
      <c r="T104" s="1065"/>
      <c r="U104" s="1065"/>
      <c r="V104" s="1065"/>
      <c r="W104" s="1065"/>
      <c r="X104" s="1065"/>
      <c r="Y104" s="1223"/>
      <c r="Z104" s="1068"/>
      <c r="AA104" s="1071"/>
      <c r="AB104" s="1068"/>
      <c r="AC104" s="1068"/>
      <c r="AD104" s="1068"/>
    </row>
    <row customHeight="1" ht="9">
      <c r="A105" s="1067"/>
      <c r="B105" s="1067"/>
      <c r="C105" s="1065"/>
      <c r="D105" s="1065"/>
      <c r="E105" s="1065"/>
      <c r="F105" s="1065"/>
      <c r="G105" s="1065"/>
      <c r="H105" s="1113"/>
      <c r="I105" s="1113"/>
      <c r="J105" s="1113"/>
      <c r="K105" s="1113"/>
      <c r="L105" s="1113"/>
      <c r="M105" s="1065"/>
      <c r="N105" s="1112"/>
      <c r="O105" s="1180"/>
      <c r="P105" s="1180"/>
      <c r="Q105" s="1180"/>
      <c r="R105" s="1180"/>
      <c r="S105" s="1065"/>
      <c r="T105" s="1065"/>
      <c r="U105" s="1065"/>
      <c r="V105" s="1065"/>
      <c r="W105" s="1065"/>
      <c r="X105" s="1065"/>
      <c r="Y105" s="1223"/>
      <c r="Z105" s="1068"/>
      <c r="AA105" s="1071"/>
      <c r="AB105" s="1068"/>
      <c r="AC105" s="1068"/>
      <c r="AD105" s="1068"/>
    </row>
    <row customHeight="1" ht="9">
      <c r="A106" s="1067"/>
      <c r="B106" s="1067"/>
      <c r="C106" s="1065"/>
      <c r="D106" s="1065"/>
      <c r="E106" s="1065"/>
      <c r="F106" s="1065"/>
      <c r="G106" s="1065"/>
      <c r="H106" s="1113"/>
      <c r="I106" s="1113"/>
      <c r="J106" s="1113"/>
      <c r="K106" s="1113"/>
      <c r="L106" s="1113"/>
      <c r="M106" s="1065"/>
      <c r="N106" s="1112"/>
      <c r="O106" s="1180"/>
      <c r="P106" s="1180"/>
      <c r="Q106" s="1180"/>
      <c r="R106" s="1180"/>
      <c r="S106" s="1065"/>
      <c r="T106" s="1065"/>
      <c r="U106" s="1065"/>
      <c r="V106" s="1065"/>
      <c r="W106" s="1065"/>
      <c r="X106" s="1065"/>
      <c r="Y106" s="1223"/>
      <c r="Z106" s="1068"/>
      <c r="AA106" s="1071"/>
      <c r="AB106" s="1068"/>
      <c r="AC106" s="1068"/>
      <c r="AD106" s="1068"/>
    </row>
    <row customHeight="1" ht="9">
      <c r="A107" s="1067"/>
      <c r="B107" s="1067"/>
      <c r="C107" s="1065"/>
      <c r="D107" s="1065"/>
      <c r="E107" s="1065"/>
      <c r="F107" s="1065"/>
      <c r="G107" s="1065"/>
      <c r="H107" s="1113"/>
      <c r="I107" s="1113"/>
      <c r="J107" s="1113"/>
      <c r="K107" s="1113"/>
      <c r="L107" s="1113"/>
      <c r="M107" s="1065"/>
      <c r="N107" s="1112"/>
      <c r="O107" s="1180"/>
      <c r="P107" s="1180"/>
      <c r="Q107" s="1180"/>
      <c r="R107" s="1180"/>
      <c r="S107" s="1065"/>
      <c r="T107" s="1065"/>
      <c r="U107" s="1065"/>
      <c r="V107" s="1065"/>
      <c r="W107" s="1065"/>
      <c r="X107" s="1065"/>
      <c r="Y107" s="1223"/>
      <c r="Z107" s="1068"/>
      <c r="AA107" s="1071"/>
      <c r="AB107" s="1068"/>
      <c r="AC107" s="1068"/>
      <c r="AD107" s="1068"/>
    </row>
    <row customHeight="1" ht="9">
      <c r="A108" s="1067"/>
      <c r="B108" s="1067"/>
      <c r="C108" s="1065"/>
      <c r="D108" s="1065"/>
      <c r="E108" s="1065"/>
      <c r="F108" s="1065"/>
      <c r="G108" s="1065"/>
      <c r="H108" s="1113"/>
      <c r="I108" s="1113"/>
      <c r="J108" s="1113"/>
      <c r="K108" s="1113"/>
      <c r="L108" s="1113"/>
      <c r="M108" s="1065"/>
      <c r="N108" s="1112"/>
      <c r="O108" s="1180"/>
      <c r="P108" s="1180"/>
      <c r="Q108" s="1180"/>
      <c r="R108" s="1180"/>
      <c r="S108" s="1065"/>
      <c r="T108" s="1065"/>
      <c r="U108" s="1065"/>
      <c r="V108" s="1065"/>
      <c r="W108" s="1065"/>
      <c r="X108" s="1065"/>
      <c r="Y108" s="1223"/>
      <c r="Z108" s="1068"/>
      <c r="AA108" s="1071"/>
      <c r="AB108" s="1068"/>
      <c r="AC108" s="1068"/>
      <c r="AD108" s="1068"/>
    </row>
    <row customHeight="1" ht="9">
      <c r="A109" s="1067"/>
      <c r="B109" s="1067"/>
      <c r="C109" s="1065"/>
      <c r="D109" s="1065"/>
      <c r="E109" s="1065"/>
      <c r="F109" s="1065"/>
      <c r="G109" s="1065"/>
      <c r="H109" s="1113"/>
      <c r="I109" s="1113"/>
      <c r="J109" s="1113"/>
      <c r="K109" s="1113"/>
      <c r="L109" s="1113"/>
      <c r="M109" s="1065"/>
      <c r="N109" s="1112"/>
      <c r="O109" s="1180"/>
      <c r="P109" s="1180"/>
      <c r="Q109" s="1180"/>
      <c r="R109" s="1180"/>
      <c r="S109" s="1065"/>
      <c r="T109" s="1065"/>
      <c r="U109" s="1065"/>
      <c r="V109" s="1065"/>
      <c r="W109" s="1065"/>
      <c r="X109" s="1065"/>
      <c r="Y109" s="1223"/>
      <c r="Z109" s="1068"/>
      <c r="AA109" s="1071"/>
      <c r="AB109" s="1068"/>
      <c r="AC109" s="1068"/>
      <c r="AD109" s="1068"/>
    </row>
    <row customHeight="1" ht="9">
      <c r="A110" s="1067"/>
      <c r="B110" s="1067"/>
      <c r="C110" s="1065"/>
      <c r="D110" s="1065"/>
      <c r="E110" s="1065"/>
      <c r="F110" s="1065"/>
      <c r="G110" s="1065"/>
      <c r="H110" s="1113"/>
      <c r="I110" s="1113"/>
      <c r="J110" s="1113"/>
      <c r="K110" s="1113"/>
      <c r="L110" s="1113"/>
      <c r="M110" s="1065"/>
      <c r="N110" s="1112"/>
      <c r="O110" s="1180"/>
      <c r="P110" s="1180"/>
      <c r="Q110" s="1180"/>
      <c r="R110" s="1180"/>
      <c r="S110" s="1065"/>
      <c r="T110" s="1065"/>
      <c r="U110" s="1065"/>
      <c r="V110" s="1065"/>
      <c r="W110" s="1065"/>
      <c r="X110" s="1065"/>
      <c r="Y110" s="1223"/>
      <c r="Z110" s="1068"/>
      <c r="AA110" s="1071"/>
      <c r="AB110" s="1068"/>
      <c r="AC110" s="1068"/>
      <c r="AD110" s="1068"/>
    </row>
    <row customHeight="1" ht="9">
      <c r="A111" s="1067"/>
      <c r="B111" s="1067"/>
      <c r="C111" s="1065"/>
      <c r="D111" s="1065"/>
      <c r="E111" s="1065"/>
      <c r="F111" s="1065"/>
      <c r="G111" s="1065"/>
      <c r="H111" s="1113"/>
      <c r="I111" s="1113"/>
      <c r="J111" s="1113"/>
      <c r="K111" s="1113"/>
      <c r="L111" s="1113"/>
      <c r="M111" s="1065"/>
      <c r="N111" s="1112"/>
      <c r="O111" s="1180"/>
      <c r="P111" s="1180"/>
      <c r="Q111" s="1180"/>
      <c r="R111" s="1180"/>
      <c r="S111" s="1065"/>
      <c r="T111" s="1065"/>
      <c r="U111" s="1065"/>
      <c r="V111" s="1065"/>
      <c r="W111" s="1065"/>
      <c r="X111" s="1065"/>
      <c r="Y111" s="1223"/>
      <c r="Z111" s="1068"/>
      <c r="AA111" s="1071"/>
      <c r="AB111" s="1068"/>
      <c r="AC111" s="1068"/>
      <c r="AD111" s="1068"/>
    </row>
    <row customHeight="1" ht="9">
      <c r="A112" s="1067"/>
      <c r="B112" s="1067"/>
      <c r="C112" s="1065"/>
      <c r="D112" s="1065"/>
      <c r="E112" s="1065"/>
      <c r="F112" s="1065"/>
      <c r="G112" s="1065"/>
      <c r="H112" s="1113"/>
      <c r="I112" s="1113"/>
      <c r="J112" s="1113"/>
      <c r="K112" s="1113"/>
      <c r="L112" s="1113"/>
      <c r="M112" s="1065"/>
      <c r="N112" s="1112"/>
      <c r="O112" s="1180"/>
      <c r="P112" s="1180"/>
      <c r="Q112" s="1180"/>
      <c r="R112" s="1180"/>
      <c r="S112" s="1065"/>
      <c r="T112" s="1065"/>
      <c r="U112" s="1065"/>
      <c r="V112" s="1065"/>
      <c r="W112" s="1065"/>
      <c r="X112" s="1065"/>
      <c r="Y112" s="1223"/>
      <c r="Z112" s="1068"/>
      <c r="AA112" s="1071"/>
      <c r="AB112" s="1068"/>
      <c r="AC112" s="1068"/>
      <c r="AD112" s="1068"/>
    </row>
    <row customHeight="1" ht="9">
      <c r="A113" s="1067"/>
      <c r="B113" s="1067"/>
      <c r="C113" s="1065"/>
      <c r="D113" s="1065"/>
      <c r="E113" s="1065"/>
      <c r="F113" s="1065"/>
      <c r="G113" s="1065"/>
      <c r="H113" s="1113"/>
      <c r="I113" s="1113"/>
      <c r="J113" s="1113"/>
      <c r="K113" s="1113"/>
      <c r="L113" s="1113"/>
      <c r="M113" s="1065"/>
      <c r="N113" s="1112"/>
      <c r="O113" s="1180"/>
      <c r="P113" s="1180"/>
      <c r="Q113" s="1180"/>
      <c r="R113" s="1180"/>
      <c r="S113" s="1065"/>
      <c r="T113" s="1065"/>
      <c r="U113" s="1065"/>
      <c r="V113" s="1065"/>
      <c r="W113" s="1065"/>
      <c r="X113" s="1065"/>
      <c r="Y113" s="1223"/>
      <c r="Z113" s="1068"/>
      <c r="AA113" s="1071"/>
      <c r="AB113" s="1068"/>
      <c r="AC113" s="1068"/>
      <c r="AD113" s="1068"/>
    </row>
    <row customHeight="1" ht="9">
      <c r="A114" s="1067"/>
      <c r="B114" s="1067"/>
      <c r="C114" s="1065"/>
      <c r="D114" s="1065"/>
      <c r="E114" s="1065"/>
      <c r="F114" s="1065"/>
      <c r="G114" s="1065"/>
      <c r="H114" s="1113"/>
      <c r="I114" s="1113"/>
      <c r="J114" s="1113"/>
      <c r="K114" s="1113"/>
      <c r="L114" s="1113"/>
      <c r="M114" s="1065"/>
      <c r="N114" s="1112"/>
      <c r="O114" s="1180"/>
      <c r="P114" s="1180"/>
      <c r="Q114" s="1180"/>
      <c r="R114" s="1180"/>
      <c r="S114" s="1065"/>
      <c r="T114" s="1065"/>
      <c r="U114" s="1065"/>
      <c r="V114" s="1065"/>
      <c r="W114" s="1065"/>
      <c r="X114" s="1065"/>
      <c r="Y114" s="1223"/>
      <c r="Z114" s="1068"/>
      <c r="AA114" s="1071"/>
      <c r="AB114" s="1068"/>
      <c r="AC114" s="1068"/>
      <c r="AD114" s="1068"/>
    </row>
    <row customHeight="1" ht="9">
      <c r="A115" s="1067"/>
      <c r="B115" s="1067"/>
      <c r="C115" s="1065"/>
      <c r="D115" s="1065"/>
      <c r="E115" s="1065"/>
      <c r="F115" s="1065"/>
      <c r="G115" s="1065"/>
      <c r="H115" s="1113"/>
      <c r="I115" s="1113"/>
      <c r="J115" s="1113"/>
      <c r="K115" s="1113"/>
      <c r="L115" s="1113"/>
      <c r="M115" s="1065"/>
      <c r="N115" s="1112"/>
      <c r="O115" s="1180"/>
      <c r="P115" s="1180"/>
      <c r="Q115" s="1180"/>
      <c r="R115" s="1180"/>
      <c r="S115" s="1065"/>
      <c r="T115" s="1065"/>
      <c r="U115" s="1065"/>
      <c r="V115" s="1065"/>
      <c r="W115" s="1065"/>
      <c r="X115" s="1065"/>
      <c r="Y115" s="1223"/>
      <c r="Z115" s="1068"/>
      <c r="AA115" s="1071"/>
      <c r="AB115" s="1068"/>
      <c r="AC115" s="1068"/>
      <c r="AD115" s="1068"/>
    </row>
    <row customHeight="1" ht="9">
      <c r="A116" s="1067"/>
      <c r="B116" s="1067"/>
      <c r="C116" s="1065"/>
      <c r="D116" s="1065"/>
      <c r="E116" s="1065"/>
      <c r="F116" s="1065"/>
      <c r="G116" s="1065"/>
      <c r="H116" s="1113"/>
      <c r="I116" s="1113"/>
      <c r="J116" s="1113"/>
      <c r="K116" s="1113"/>
      <c r="L116" s="1113"/>
      <c r="M116" s="1065"/>
      <c r="N116" s="1112"/>
      <c r="O116" s="1180"/>
      <c r="P116" s="1180"/>
      <c r="Q116" s="1180"/>
      <c r="R116" s="1180"/>
      <c r="S116" s="1065"/>
      <c r="T116" s="1065"/>
      <c r="U116" s="1065"/>
      <c r="V116" s="1065"/>
      <c r="W116" s="1065"/>
      <c r="X116" s="1065"/>
      <c r="Y116" s="1223"/>
      <c r="Z116" s="1068"/>
      <c r="AA116" s="1071"/>
      <c r="AB116" s="1068"/>
      <c r="AC116" s="1068"/>
      <c r="AD116" s="1068"/>
    </row>
    <row customHeight="1" ht="9">
      <c r="A117" s="1067"/>
      <c r="B117" s="1067"/>
      <c r="C117" s="1065"/>
      <c r="D117" s="1065"/>
      <c r="E117" s="1065"/>
      <c r="F117" s="1065"/>
      <c r="G117" s="1065"/>
      <c r="H117" s="1113"/>
      <c r="I117" s="1113"/>
      <c r="J117" s="1113"/>
      <c r="K117" s="1113"/>
      <c r="L117" s="1113"/>
      <c r="M117" s="1065"/>
      <c r="N117" s="1112"/>
      <c r="O117" s="1180"/>
      <c r="P117" s="1180"/>
      <c r="Q117" s="1180"/>
      <c r="R117" s="1180"/>
      <c r="S117" s="1065"/>
      <c r="T117" s="1065"/>
      <c r="U117" s="1065"/>
      <c r="V117" s="1065"/>
      <c r="W117" s="1065"/>
      <c r="X117" s="1065"/>
      <c r="Y117" s="1223"/>
      <c r="Z117" s="1068"/>
      <c r="AA117" s="1071"/>
      <c r="AB117" s="1068"/>
      <c r="AC117" s="1068"/>
      <c r="AD117" s="1068"/>
    </row>
    <row customHeight="1" ht="9">
      <c r="A118" s="1067"/>
      <c r="B118" s="1067"/>
      <c r="C118" s="1065"/>
      <c r="D118" s="1065"/>
      <c r="E118" s="1065"/>
      <c r="F118" s="1065"/>
      <c r="G118" s="1065"/>
      <c r="H118" s="1113"/>
      <c r="I118" s="1113"/>
      <c r="J118" s="1113"/>
      <c r="K118" s="1113"/>
      <c r="L118" s="1113"/>
      <c r="M118" s="1065"/>
      <c r="N118" s="1112"/>
      <c r="O118" s="1180"/>
      <c r="P118" s="1180"/>
      <c r="Q118" s="1180"/>
      <c r="R118" s="1180"/>
      <c r="S118" s="1065"/>
      <c r="T118" s="1065"/>
      <c r="U118" s="1065"/>
      <c r="V118" s="1065"/>
      <c r="W118" s="1065"/>
      <c r="X118" s="1065"/>
      <c r="Y118" s="1223"/>
      <c r="Z118" s="1068"/>
      <c r="AA118" s="1071"/>
      <c r="AB118" s="1068"/>
      <c r="AC118" s="1068"/>
      <c r="AD118" s="1068"/>
    </row>
    <row customHeight="1" ht="9">
      <c r="A119" s="1067"/>
      <c r="B119" s="1067"/>
      <c r="C119" s="1065"/>
      <c r="D119" s="1065"/>
      <c r="E119" s="1065"/>
      <c r="F119" s="1065"/>
      <c r="G119" s="1065"/>
      <c r="H119" s="1113"/>
      <c r="I119" s="1113"/>
      <c r="J119" s="1113"/>
      <c r="K119" s="1113"/>
      <c r="L119" s="1113"/>
      <c r="M119" s="1065"/>
      <c r="N119" s="1112"/>
      <c r="O119" s="1180"/>
      <c r="P119" s="1180"/>
      <c r="Q119" s="1180"/>
      <c r="R119" s="1180"/>
      <c r="S119" s="1065"/>
      <c r="T119" s="1065"/>
      <c r="U119" s="1065"/>
      <c r="V119" s="1065"/>
      <c r="W119" s="1065"/>
      <c r="X119" s="1065"/>
      <c r="Y119" s="1223"/>
      <c r="Z119" s="1068"/>
      <c r="AA119" s="1071"/>
      <c r="AB119" s="1068"/>
      <c r="AC119" s="1068"/>
      <c r="AD119" s="1068"/>
    </row>
    <row customHeight="1" ht="9">
      <c r="A120" s="1067"/>
      <c r="B120" s="1067"/>
      <c r="C120" s="1065"/>
      <c r="D120" s="1065"/>
      <c r="E120" s="1065"/>
      <c r="F120" s="1065"/>
      <c r="G120" s="1065"/>
      <c r="H120" s="1113"/>
      <c r="I120" s="1113"/>
      <c r="J120" s="1113"/>
      <c r="K120" s="1113"/>
      <c r="L120" s="1113"/>
      <c r="M120" s="1065"/>
      <c r="N120" s="1112"/>
      <c r="O120" s="1180"/>
      <c r="P120" s="1180"/>
      <c r="Q120" s="1180"/>
      <c r="R120" s="1180"/>
      <c r="S120" s="1065"/>
      <c r="T120" s="1065"/>
      <c r="U120" s="1065"/>
      <c r="V120" s="1065"/>
      <c r="W120" s="1065"/>
      <c r="X120" s="1065"/>
      <c r="Y120" s="1223"/>
      <c r="Z120" s="1068"/>
      <c r="AA120" s="1071"/>
      <c r="AB120" s="1068"/>
      <c r="AC120" s="1068"/>
      <c r="AD120" s="1068"/>
    </row>
    <row customHeight="1" ht="9">
      <c r="A121" s="1067"/>
      <c r="B121" s="1067"/>
      <c r="C121" s="1065"/>
      <c r="D121" s="1065"/>
      <c r="E121" s="1065"/>
      <c r="F121" s="1065"/>
      <c r="G121" s="1065"/>
      <c r="H121" s="1113"/>
      <c r="I121" s="1113"/>
      <c r="J121" s="1113"/>
      <c r="K121" s="1113"/>
      <c r="L121" s="1113"/>
      <c r="M121" s="1065"/>
      <c r="N121" s="1112"/>
      <c r="O121" s="1180"/>
      <c r="P121" s="1180"/>
      <c r="Q121" s="1180"/>
      <c r="R121" s="1180"/>
      <c r="S121" s="1065"/>
      <c r="T121" s="1065"/>
      <c r="U121" s="1065"/>
      <c r="V121" s="1065"/>
      <c r="W121" s="1065"/>
      <c r="X121" s="1065"/>
      <c r="Y121" s="1223"/>
      <c r="Z121" s="1068"/>
      <c r="AA121" s="1071"/>
      <c r="AB121" s="1068"/>
      <c r="AC121" s="1068"/>
      <c r="AD121" s="1068"/>
    </row>
    <row customHeight="1" ht="9">
      <c r="A122" s="1067"/>
      <c r="B122" s="1067"/>
      <c r="C122" s="1065"/>
      <c r="D122" s="1065"/>
      <c r="E122" s="1065"/>
      <c r="F122" s="1065"/>
      <c r="G122" s="1065"/>
      <c r="H122" s="1113"/>
      <c r="I122" s="1113"/>
      <c r="J122" s="1113"/>
      <c r="K122" s="1113"/>
      <c r="L122" s="1113"/>
      <c r="M122" s="1065"/>
      <c r="N122" s="1112"/>
      <c r="O122" s="1180"/>
      <c r="P122" s="1180"/>
      <c r="Q122" s="1180"/>
      <c r="R122" s="1180"/>
      <c r="S122" s="1065"/>
      <c r="T122" s="1065"/>
      <c r="U122" s="1065"/>
      <c r="V122" s="1065"/>
      <c r="W122" s="1065"/>
      <c r="X122" s="1065"/>
      <c r="Y122" s="1223"/>
      <c r="Z122" s="1068"/>
      <c r="AA122" s="1071"/>
      <c r="AB122" s="1068"/>
      <c r="AC122" s="1068"/>
      <c r="AD122" s="1068"/>
    </row>
    <row customHeight="1" ht="9">
      <c r="A123" s="1067"/>
      <c r="B123" s="1067"/>
      <c r="C123" s="1065"/>
      <c r="D123" s="1065"/>
      <c r="E123" s="1065"/>
      <c r="F123" s="1065"/>
      <c r="G123" s="1065"/>
      <c r="H123" s="1113"/>
      <c r="I123" s="1113"/>
      <c r="J123" s="1113"/>
      <c r="K123" s="1113"/>
      <c r="L123" s="1113"/>
      <c r="M123" s="1065"/>
      <c r="N123" s="1112"/>
      <c r="O123" s="1180"/>
      <c r="P123" s="1180"/>
      <c r="Q123" s="1180"/>
      <c r="R123" s="1180"/>
      <c r="S123" s="1065"/>
      <c r="T123" s="1065"/>
      <c r="U123" s="1065"/>
      <c r="V123" s="1065"/>
      <c r="W123" s="1065"/>
      <c r="X123" s="1065"/>
      <c r="Y123" s="1223"/>
      <c r="Z123" s="1068"/>
      <c r="AA123" s="1071"/>
      <c r="AB123" s="1068"/>
      <c r="AC123" s="1068"/>
      <c r="AD123" s="1068"/>
    </row>
    <row customHeight="1" ht="9">
      <c r="A124" s="1067"/>
      <c r="B124" s="1067"/>
      <c r="C124" s="1065"/>
      <c r="D124" s="1065"/>
      <c r="E124" s="1065"/>
      <c r="F124" s="1065"/>
      <c r="G124" s="1065"/>
      <c r="H124" s="1113"/>
      <c r="I124" s="1113"/>
      <c r="J124" s="1113"/>
      <c r="K124" s="1113"/>
      <c r="L124" s="1113"/>
      <c r="M124" s="1065"/>
      <c r="N124" s="1112"/>
      <c r="O124" s="1180"/>
      <c r="P124" s="1180"/>
      <c r="Q124" s="1180"/>
      <c r="R124" s="1180"/>
      <c r="S124" s="1065"/>
      <c r="T124" s="1065"/>
      <c r="U124" s="1065"/>
      <c r="V124" s="1065"/>
      <c r="W124" s="1065"/>
      <c r="X124" s="1065"/>
      <c r="Y124" s="1223"/>
      <c r="Z124" s="1068"/>
      <c r="AA124" s="1071"/>
      <c r="AB124" s="1068"/>
      <c r="AC124" s="1068"/>
      <c r="AD124" s="1068"/>
    </row>
    <row customHeight="1" ht="9">
      <c r="A125" s="1067"/>
      <c r="B125" s="1067"/>
      <c r="C125" s="1065"/>
      <c r="D125" s="1065"/>
      <c r="E125" s="1065"/>
      <c r="F125" s="1065"/>
      <c r="G125" s="1065"/>
      <c r="H125" s="1113"/>
      <c r="I125" s="1113"/>
      <c r="J125" s="1113"/>
      <c r="K125" s="1113"/>
      <c r="L125" s="1113"/>
      <c r="M125" s="1065"/>
      <c r="N125" s="1112"/>
      <c r="O125" s="1180"/>
      <c r="P125" s="1180"/>
      <c r="Q125" s="1180"/>
      <c r="R125" s="1180"/>
      <c r="S125" s="1065"/>
      <c r="T125" s="1065"/>
      <c r="U125" s="1065"/>
      <c r="V125" s="1065"/>
      <c r="W125" s="1065"/>
      <c r="X125" s="1065"/>
      <c r="Y125" s="1223"/>
      <c r="Z125" s="1068"/>
      <c r="AA125" s="1071"/>
      <c r="AB125" s="1068"/>
      <c r="AC125" s="1068"/>
      <c r="AD125" s="1068"/>
    </row>
    <row customHeight="1" ht="9">
      <c r="A126" s="1067"/>
      <c r="B126" s="1067"/>
      <c r="C126" s="1065"/>
      <c r="D126" s="1065"/>
      <c r="E126" s="1065"/>
      <c r="F126" s="1065"/>
      <c r="G126" s="1065"/>
      <c r="H126" s="1113"/>
      <c r="I126" s="1113"/>
      <c r="J126" s="1113"/>
      <c r="K126" s="1113"/>
      <c r="L126" s="1113"/>
      <c r="M126" s="1065"/>
      <c r="N126" s="1112"/>
      <c r="O126" s="1180"/>
      <c r="P126" s="1180"/>
      <c r="Q126" s="1180"/>
      <c r="R126" s="1180"/>
      <c r="S126" s="1065"/>
      <c r="T126" s="1065"/>
      <c r="U126" s="1065"/>
      <c r="V126" s="1065"/>
      <c r="W126" s="1065"/>
      <c r="X126" s="1065"/>
      <c r="Y126" s="1223"/>
      <c r="Z126" s="1068"/>
      <c r="AA126" s="1071"/>
      <c r="AB126" s="1068"/>
      <c r="AC126" s="1068"/>
      <c r="AD126" s="1068"/>
    </row>
    <row customHeight="1" ht="9">
      <c r="A127" s="1067"/>
      <c r="B127" s="1067"/>
      <c r="C127" s="1065"/>
      <c r="D127" s="1065"/>
      <c r="E127" s="1065"/>
      <c r="F127" s="1065"/>
      <c r="G127" s="1065"/>
      <c r="H127" s="1113"/>
      <c r="I127" s="1113"/>
      <c r="J127" s="1113"/>
      <c r="K127" s="1113"/>
      <c r="L127" s="1113"/>
      <c r="M127" s="1065"/>
      <c r="N127" s="1112"/>
      <c r="O127" s="1180"/>
      <c r="P127" s="1180"/>
      <c r="Q127" s="1180"/>
      <c r="R127" s="1180"/>
      <c r="S127" s="1065"/>
      <c r="T127" s="1065"/>
      <c r="U127" s="1065"/>
      <c r="V127" s="1065"/>
      <c r="W127" s="1065"/>
      <c r="X127" s="1065"/>
      <c r="Y127" s="1223"/>
      <c r="Z127" s="1068"/>
      <c r="AA127" s="1071"/>
      <c r="AB127" s="1068"/>
      <c r="AC127" s="1068"/>
      <c r="AD127" s="1068"/>
    </row>
    <row customHeight="1" ht="9">
      <c r="A128" s="1067"/>
      <c r="B128" s="1067"/>
      <c r="C128" s="1065"/>
      <c r="D128" s="1065"/>
      <c r="E128" s="1065"/>
      <c r="F128" s="1065"/>
      <c r="G128" s="1065"/>
      <c r="H128" s="1113"/>
      <c r="I128" s="1113"/>
      <c r="J128" s="1113"/>
      <c r="K128" s="1113"/>
      <c r="L128" s="1113"/>
      <c r="M128" s="1065"/>
      <c r="N128" s="1112"/>
      <c r="O128" s="1180"/>
      <c r="P128" s="1180"/>
      <c r="Q128" s="1180"/>
      <c r="R128" s="1180"/>
      <c r="S128" s="1065"/>
      <c r="T128" s="1065"/>
      <c r="U128" s="1065"/>
      <c r="V128" s="1065"/>
      <c r="W128" s="1065"/>
      <c r="X128" s="1065"/>
      <c r="Y128" s="1223"/>
      <c r="Z128" s="1068"/>
      <c r="AA128" s="1071"/>
      <c r="AB128" s="1068"/>
      <c r="AC128" s="1068"/>
      <c r="AD128" s="1068"/>
    </row>
    <row customHeight="1" ht="9">
      <c r="A129" s="1067"/>
      <c r="B129" s="1067"/>
      <c r="C129" s="1065"/>
      <c r="D129" s="1065"/>
      <c r="E129" s="1065"/>
      <c r="F129" s="1065"/>
      <c r="G129" s="1065"/>
      <c r="H129" s="1113"/>
      <c r="I129" s="1113"/>
      <c r="J129" s="1113"/>
      <c r="K129" s="1113"/>
      <c r="L129" s="1113"/>
      <c r="M129" s="1065"/>
      <c r="N129" s="1112"/>
      <c r="O129" s="1180"/>
      <c r="P129" s="1180"/>
      <c r="Q129" s="1180"/>
      <c r="R129" s="1180"/>
      <c r="S129" s="1065"/>
      <c r="T129" s="1065"/>
      <c r="U129" s="1065"/>
      <c r="V129" s="1065"/>
      <c r="W129" s="1065"/>
      <c r="X129" s="1065"/>
      <c r="Y129" s="1223"/>
      <c r="Z129" s="1068"/>
      <c r="AA129" s="1071"/>
      <c r="AB129" s="1068"/>
      <c r="AC129" s="1068"/>
      <c r="AD129" s="1068"/>
    </row>
    <row customHeight="1" ht="9">
      <c r="A130" s="1067"/>
      <c r="B130" s="1067"/>
      <c r="C130" s="1065"/>
      <c r="D130" s="1065"/>
      <c r="E130" s="1065"/>
      <c r="F130" s="1065"/>
      <c r="G130" s="1065"/>
      <c r="H130" s="1113"/>
      <c r="I130" s="1113"/>
      <c r="J130" s="1113"/>
      <c r="K130" s="1113"/>
      <c r="L130" s="1113"/>
      <c r="M130" s="1065"/>
      <c r="N130" s="1112"/>
      <c r="O130" s="1182"/>
      <c r="P130" s="1182"/>
      <c r="Q130" s="1182"/>
      <c r="R130" s="1182"/>
      <c r="S130" s="1065"/>
      <c r="T130" s="1065"/>
      <c r="U130" s="1065"/>
      <c r="V130" s="1065"/>
      <c r="W130" s="1065"/>
      <c r="X130" s="1065"/>
      <c r="Y130" s="1223"/>
      <c r="Z130" s="1068"/>
      <c r="AA130" s="1071"/>
      <c r="AB130" s="1068"/>
      <c r="AC130" s="1068"/>
      <c r="AD130" s="1068"/>
    </row>
    <row customHeight="1" ht="9">
      <c r="A131" s="1067"/>
      <c r="B131" s="1067"/>
      <c r="C131" s="1065"/>
      <c r="D131" s="1065"/>
      <c r="E131" s="1065"/>
      <c r="F131" s="1065"/>
      <c r="G131" s="1065"/>
      <c r="H131" s="1113"/>
      <c r="I131" s="1113"/>
      <c r="J131" s="1113"/>
      <c r="K131" s="1113"/>
      <c r="L131" s="1113"/>
      <c r="M131" s="1065"/>
      <c r="N131" s="1112"/>
      <c r="O131" s="1183"/>
      <c r="P131" s="1183"/>
      <c r="Q131" s="1183"/>
      <c r="R131" s="1183"/>
      <c r="S131" s="1065"/>
      <c r="T131" s="1065"/>
      <c r="U131" s="1065"/>
      <c r="V131" s="1065"/>
      <c r="W131" s="1065"/>
      <c r="X131" s="1065"/>
      <c r="Y131" s="1223"/>
      <c r="Z131" s="1068"/>
      <c r="AA131" s="1071"/>
      <c r="AB131" s="1068"/>
      <c r="AC131" s="1068"/>
      <c r="AD131" s="1068"/>
    </row>
    <row customHeight="1" ht="9">
      <c r="A132" s="1067"/>
      <c r="B132" s="1067"/>
      <c r="C132" s="1065"/>
      <c r="D132" s="1065"/>
      <c r="E132" s="1065"/>
      <c r="F132" s="1065"/>
      <c r="G132" s="1065"/>
      <c r="H132" s="1113"/>
      <c r="I132" s="1113"/>
      <c r="J132" s="1113"/>
      <c r="K132" s="1113"/>
      <c r="L132" s="1113"/>
      <c r="M132" s="1065"/>
      <c r="N132" s="1112"/>
      <c r="O132" s="1182"/>
      <c r="P132" s="1182"/>
      <c r="Q132" s="1182"/>
      <c r="R132" s="1182"/>
      <c r="S132" s="1065"/>
      <c r="T132" s="1065"/>
      <c r="U132" s="1065"/>
      <c r="V132" s="1065"/>
      <c r="W132" s="1065"/>
      <c r="X132" s="1065"/>
      <c r="Y132" s="1223"/>
      <c r="Z132" s="1068"/>
      <c r="AA132" s="1071"/>
      <c r="AB132" s="1068"/>
      <c r="AC132" s="1068"/>
      <c r="AD132" s="1068"/>
    </row>
    <row customHeight="1" ht="9">
      <c r="A133" s="1067"/>
      <c r="B133" s="1067"/>
      <c r="C133" s="1065"/>
      <c r="D133" s="1065"/>
      <c r="E133" s="1065"/>
      <c r="F133" s="1065"/>
      <c r="G133" s="1065"/>
      <c r="H133" s="1113"/>
      <c r="I133" s="1113"/>
      <c r="J133" s="1113"/>
      <c r="K133" s="1113"/>
      <c r="L133" s="1113"/>
      <c r="M133" s="1065"/>
      <c r="N133" s="1112"/>
      <c r="O133" s="1183"/>
      <c r="P133" s="1183"/>
      <c r="Q133" s="1183"/>
      <c r="R133" s="1183"/>
      <c r="S133" s="1065"/>
      <c r="T133" s="1065"/>
      <c r="U133" s="1065"/>
      <c r="V133" s="1065"/>
      <c r="W133" s="1065"/>
      <c r="X133" s="1065"/>
      <c r="Y133" s="1223"/>
      <c r="Z133" s="1068"/>
      <c r="AA133" s="1071"/>
      <c r="AB133" s="1068"/>
      <c r="AC133" s="1068"/>
      <c r="AD133" s="1068"/>
    </row>
    <row customHeight="1" ht="9">
      <c r="A134" s="1067"/>
      <c r="B134" s="1067"/>
      <c r="C134" s="1065"/>
      <c r="D134" s="1065"/>
      <c r="E134" s="1065"/>
      <c r="F134" s="1065"/>
      <c r="G134" s="1065"/>
      <c r="H134" s="1113"/>
      <c r="I134" s="1113"/>
      <c r="J134" s="1113"/>
      <c r="K134" s="1113"/>
      <c r="L134" s="1113"/>
      <c r="M134" s="1065"/>
      <c r="N134" s="1112"/>
      <c r="O134" s="1180"/>
      <c r="P134" s="1180"/>
      <c r="Q134" s="1180"/>
      <c r="R134" s="1180"/>
      <c r="S134" s="1065"/>
      <c r="T134" s="1065"/>
      <c r="U134" s="1065"/>
      <c r="V134" s="1065"/>
      <c r="W134" s="1065"/>
      <c r="X134" s="1065"/>
      <c r="Y134" s="1223"/>
      <c r="Z134" s="1068"/>
      <c r="AA134" s="1071"/>
      <c r="AB134" s="1068"/>
      <c r="AC134" s="1068"/>
      <c r="AD134" s="1068"/>
    </row>
    <row customHeight="1" ht="9">
      <c r="A135" s="1067"/>
      <c r="B135" s="1067"/>
      <c r="C135" s="1065"/>
      <c r="D135" s="1065"/>
      <c r="E135" s="1065"/>
      <c r="F135" s="1065"/>
      <c r="G135" s="1065"/>
      <c r="H135" s="1113"/>
      <c r="I135" s="1113"/>
      <c r="J135" s="1113"/>
      <c r="K135" s="1113"/>
      <c r="L135" s="1113"/>
      <c r="M135" s="1065"/>
      <c r="N135" s="1112"/>
      <c r="O135" s="1180"/>
      <c r="P135" s="1180"/>
      <c r="Q135" s="1180"/>
      <c r="R135" s="1180"/>
      <c r="S135" s="1065"/>
      <c r="T135" s="1065"/>
      <c r="U135" s="1065"/>
      <c r="V135" s="1065"/>
      <c r="W135" s="1065"/>
      <c r="X135" s="1065"/>
      <c r="Y135" s="1223"/>
      <c r="Z135" s="1068"/>
      <c r="AA135" s="1071"/>
      <c r="AB135" s="1068"/>
      <c r="AC135" s="1068"/>
      <c r="AD135" s="1068"/>
    </row>
    <row customHeight="1" ht="9">
      <c r="A136" s="1067"/>
      <c r="B136" s="1067"/>
      <c r="C136" s="1065"/>
      <c r="D136" s="1065"/>
      <c r="E136" s="1065"/>
      <c r="F136" s="1065"/>
      <c r="G136" s="1065"/>
      <c r="H136" s="1113"/>
      <c r="I136" s="1113"/>
      <c r="J136" s="1113"/>
      <c r="K136" s="1113"/>
      <c r="L136" s="1113"/>
      <c r="M136" s="1065"/>
      <c r="N136" s="1112"/>
      <c r="O136" s="1180"/>
      <c r="P136" s="1180"/>
      <c r="Q136" s="1180"/>
      <c r="R136" s="1180"/>
      <c r="S136" s="1065"/>
      <c r="T136" s="1065"/>
      <c r="U136" s="1065"/>
      <c r="V136" s="1065"/>
      <c r="W136" s="1065"/>
      <c r="X136" s="1065"/>
      <c r="Y136" s="1223"/>
      <c r="Z136" s="1068"/>
      <c r="AA136" s="1071"/>
      <c r="AB136" s="1068"/>
      <c r="AC136" s="1068"/>
      <c r="AD136" s="1068"/>
    </row>
    <row customHeight="1" ht="9">
      <c r="A137" s="1067"/>
      <c r="B137" s="1067"/>
      <c r="C137" s="1065"/>
      <c r="D137" s="1065"/>
      <c r="E137" s="1065"/>
      <c r="F137" s="1065"/>
      <c r="G137" s="1065"/>
      <c r="H137" s="1113"/>
      <c r="I137" s="1113"/>
      <c r="J137" s="1113"/>
      <c r="K137" s="1113"/>
      <c r="L137" s="1113"/>
      <c r="M137" s="1065"/>
      <c r="N137" s="1112"/>
      <c r="O137" s="1184"/>
      <c r="P137" s="1184"/>
      <c r="Q137" s="1184"/>
      <c r="R137" s="1184"/>
      <c r="S137" s="1065"/>
      <c r="T137" s="1065"/>
      <c r="U137" s="1065"/>
      <c r="V137" s="1065"/>
      <c r="W137" s="1065"/>
      <c r="X137" s="1065"/>
      <c r="Y137" s="1223"/>
      <c r="Z137" s="1068"/>
      <c r="AA137" s="1071"/>
      <c r="AB137" s="1068"/>
      <c r="AC137" s="1068"/>
      <c r="AD137" s="1068"/>
    </row>
    <row customHeight="1" ht="9">
      <c r="A138" s="1067"/>
      <c r="B138" s="1067"/>
      <c r="C138" s="1065"/>
      <c r="D138" s="1065"/>
      <c r="E138" s="1065"/>
      <c r="F138" s="1065"/>
      <c r="G138" s="1065"/>
      <c r="H138" s="1113"/>
      <c r="I138" s="1113"/>
      <c r="J138" s="1113"/>
      <c r="K138" s="1113"/>
      <c r="L138" s="1113"/>
      <c r="M138" s="1065"/>
      <c r="N138" s="1112"/>
      <c r="O138" s="1181"/>
      <c r="P138" s="1181"/>
      <c r="Q138" s="1181"/>
      <c r="R138" s="1181"/>
      <c r="S138" s="1065"/>
      <c r="T138" s="1065"/>
      <c r="U138" s="1065"/>
      <c r="V138" s="1065"/>
      <c r="W138" s="1065"/>
      <c r="X138" s="1065"/>
      <c r="Y138" s="1223"/>
      <c r="Z138" s="1068"/>
      <c r="AA138" s="1071"/>
      <c r="AB138" s="1068"/>
      <c r="AC138" s="1068"/>
      <c r="AD138" s="1068"/>
    </row>
    <row customHeight="1" ht="9">
      <c r="A139" s="1067"/>
      <c r="B139" s="1067"/>
      <c r="C139" s="1065"/>
      <c r="D139" s="1065"/>
      <c r="E139" s="1065"/>
      <c r="F139" s="1065"/>
      <c r="G139" s="1065"/>
      <c r="H139" s="1113"/>
      <c r="I139" s="1113"/>
      <c r="J139" s="1113"/>
      <c r="K139" s="1113"/>
      <c r="L139" s="1113"/>
      <c r="M139" s="1065"/>
      <c r="N139" s="1112"/>
      <c r="O139" s="1065"/>
      <c r="P139" s="1065"/>
      <c r="Q139" s="1065"/>
      <c r="R139" s="1065"/>
      <c r="S139" s="1065"/>
      <c r="T139" s="1065"/>
      <c r="U139" s="1065"/>
      <c r="V139" s="1065"/>
      <c r="W139" s="1065"/>
      <c r="X139" s="1065"/>
      <c r="Y139" s="1223"/>
      <c r="Z139" s="1068"/>
      <c r="AA139" s="1071"/>
      <c r="AB139" s="1068"/>
      <c r="AC139" s="1068"/>
      <c r="AD139" s="1068"/>
    </row>
    <row customHeight="1" ht="9">
      <c r="A140" s="1067"/>
      <c r="B140" s="1067"/>
      <c r="C140" s="1065"/>
      <c r="D140" s="1065"/>
      <c r="E140" s="1065"/>
      <c r="F140" s="1065"/>
      <c r="G140" s="1065"/>
      <c r="H140" s="1113"/>
      <c r="I140" s="1113"/>
      <c r="J140" s="1113"/>
      <c r="K140" s="1113"/>
      <c r="L140" s="1113"/>
      <c r="M140" s="1065"/>
      <c r="N140" s="1112"/>
      <c r="O140" s="1065"/>
      <c r="P140" s="1065"/>
      <c r="Q140" s="1065"/>
      <c r="R140" s="1065"/>
      <c r="S140" s="1065"/>
      <c r="T140" s="1065"/>
      <c r="U140" s="1065"/>
      <c r="V140" s="1065"/>
      <c r="W140" s="1065"/>
      <c r="X140" s="1065"/>
      <c r="Y140" s="1223"/>
      <c r="Z140" s="1068"/>
      <c r="AA140" s="1071"/>
      <c r="AB140" s="1068"/>
      <c r="AC140" s="1068"/>
      <c r="AD140" s="1068"/>
    </row>
    <row customHeight="1" ht="9">
      <c r="A141" s="1067"/>
      <c r="B141" s="1067"/>
      <c r="C141" s="1065"/>
      <c r="D141" s="1065"/>
      <c r="E141" s="1065"/>
      <c r="F141" s="1065"/>
      <c r="G141" s="1065"/>
      <c r="H141" s="1113"/>
      <c r="I141" s="1113"/>
      <c r="J141" s="1113"/>
      <c r="K141" s="1113"/>
      <c r="L141" s="1113"/>
      <c r="M141" s="1065"/>
      <c r="N141" s="1112"/>
      <c r="O141" s="1065"/>
      <c r="P141" s="1065"/>
      <c r="Q141" s="1065"/>
      <c r="R141" s="1065"/>
      <c r="S141" s="1065"/>
      <c r="T141" s="1065"/>
      <c r="U141" s="1065"/>
      <c r="V141" s="1065"/>
      <c r="W141" s="1065"/>
      <c r="X141" s="1065"/>
      <c r="Y141" s="1223"/>
      <c r="Z141" s="1068"/>
      <c r="AA141" s="1071"/>
      <c r="AB141" s="1068"/>
      <c r="AC141" s="1068"/>
      <c r="AD141" s="1068"/>
    </row>
    <row customHeight="1" ht="9">
      <c r="A142" s="1067"/>
      <c r="B142" s="1067"/>
      <c r="C142" s="1065"/>
      <c r="D142" s="1065"/>
      <c r="E142" s="1065"/>
      <c r="F142" s="1065"/>
      <c r="G142" s="1065"/>
      <c r="H142" s="1113"/>
      <c r="I142" s="1113"/>
      <c r="J142" s="1113"/>
      <c r="K142" s="1113"/>
      <c r="L142" s="1113"/>
      <c r="M142" s="1065"/>
      <c r="N142" s="1112"/>
      <c r="O142" s="1065"/>
      <c r="P142" s="1065"/>
      <c r="Q142" s="1065"/>
      <c r="R142" s="1065"/>
      <c r="S142" s="1065"/>
      <c r="T142" s="1065"/>
      <c r="U142" s="1065"/>
      <c r="V142" s="1065"/>
      <c r="W142" s="1065"/>
      <c r="X142" s="1065"/>
      <c r="Y142" s="1223"/>
      <c r="Z142" s="1068"/>
      <c r="AA142" s="1071"/>
      <c r="AB142" s="1068"/>
      <c r="AC142" s="1068"/>
      <c r="AD142" s="1068"/>
    </row>
    <row customHeight="1" ht="9">
      <c r="A143" s="1067"/>
      <c r="B143" s="1067"/>
      <c r="C143" s="1065"/>
      <c r="D143" s="1065"/>
      <c r="E143" s="1065"/>
      <c r="F143" s="1065"/>
      <c r="G143" s="1065"/>
      <c r="H143" s="1113"/>
      <c r="I143" s="1113"/>
      <c r="J143" s="1113"/>
      <c r="K143" s="1113"/>
      <c r="L143" s="1113"/>
      <c r="M143" s="1065"/>
      <c r="N143" s="1112"/>
      <c r="O143" s="1065"/>
      <c r="P143" s="1065"/>
      <c r="Q143" s="1065"/>
      <c r="R143" s="1065"/>
      <c r="S143" s="1065"/>
      <c r="T143" s="1065"/>
      <c r="U143" s="1065"/>
      <c r="V143" s="1065"/>
      <c r="W143" s="1065"/>
      <c r="X143" s="1065"/>
      <c r="Y143" s="1223"/>
      <c r="Z143" s="1068"/>
      <c r="AA143" s="1071"/>
      <c r="AB143" s="1068"/>
      <c r="AC143" s="1068"/>
      <c r="AD143" s="1068"/>
    </row>
    <row customHeight="1" ht="9">
      <c r="A144" s="1067"/>
      <c r="B144" s="1067"/>
      <c r="C144" s="1065"/>
      <c r="D144" s="1065"/>
      <c r="E144" s="1065"/>
      <c r="F144" s="1065"/>
      <c r="G144" s="1065"/>
      <c r="H144" s="1113"/>
      <c r="I144" s="1113"/>
      <c r="J144" s="1113"/>
      <c r="K144" s="1113"/>
      <c r="L144" s="1113"/>
      <c r="M144" s="1065"/>
      <c r="N144" s="1112"/>
      <c r="O144" s="1065"/>
      <c r="P144" s="1065"/>
      <c r="Q144" s="1065"/>
      <c r="R144" s="1065"/>
      <c r="S144" s="1065"/>
      <c r="T144" s="1065"/>
      <c r="U144" s="1065"/>
      <c r="V144" s="1065"/>
      <c r="W144" s="1065"/>
      <c r="X144" s="1065"/>
      <c r="Y144" s="1223"/>
      <c r="Z144" s="1068"/>
      <c r="AA144" s="1071"/>
      <c r="AB144" s="1068"/>
      <c r="AC144" s="1068"/>
      <c r="AD144" s="1068"/>
    </row>
    <row customHeight="1" ht="9">
      <c r="A145" s="1067"/>
      <c r="B145" s="1067"/>
      <c r="C145" s="1065"/>
      <c r="D145" s="1065"/>
      <c r="E145" s="1065"/>
      <c r="F145" s="1065"/>
      <c r="G145" s="1065"/>
      <c r="H145" s="1113"/>
      <c r="I145" s="1113"/>
      <c r="J145" s="1113"/>
      <c r="K145" s="1113"/>
      <c r="L145" s="1113"/>
      <c r="M145" s="1065"/>
      <c r="N145" s="1112"/>
      <c r="O145" s="1065"/>
      <c r="P145" s="1065"/>
      <c r="Q145" s="1065"/>
      <c r="R145" s="1065"/>
      <c r="S145" s="1065"/>
      <c r="T145" s="1065"/>
      <c r="U145" s="1065"/>
      <c r="V145" s="1065"/>
      <c r="W145" s="1065"/>
      <c r="X145" s="1065"/>
      <c r="Y145" s="1223"/>
      <c r="Z145" s="1068"/>
      <c r="AA145" s="1071"/>
      <c r="AB145" s="1068"/>
      <c r="AC145" s="1068"/>
      <c r="AD145" s="1068"/>
    </row>
    <row customHeight="1" ht="9">
      <c r="A146" s="1067"/>
      <c r="B146" s="1067"/>
      <c r="C146" s="1065"/>
      <c r="D146" s="1065"/>
      <c r="E146" s="1065"/>
      <c r="F146" s="1065"/>
      <c r="G146" s="1065"/>
      <c r="H146" s="1113"/>
      <c r="I146" s="1113"/>
      <c r="J146" s="1113"/>
      <c r="K146" s="1113"/>
      <c r="L146" s="1113"/>
      <c r="M146" s="1065"/>
      <c r="N146" s="1112"/>
      <c r="O146" s="1065"/>
      <c r="P146" s="1065"/>
      <c r="Q146" s="1065"/>
      <c r="R146" s="1065"/>
      <c r="S146" s="1065"/>
      <c r="T146" s="1065"/>
      <c r="U146" s="1065"/>
      <c r="V146" s="1065"/>
      <c r="W146" s="1065"/>
      <c r="X146" s="1065"/>
      <c r="Y146" s="1223"/>
      <c r="Z146" s="1068"/>
      <c r="AA146" s="1071"/>
      <c r="AB146" s="1068"/>
      <c r="AC146" s="1068"/>
      <c r="AD146" s="1068"/>
    </row>
    <row customHeight="1" ht="9">
      <c r="A147" s="1067"/>
      <c r="B147" s="1067"/>
      <c r="C147" s="1067"/>
      <c r="D147" s="1067"/>
      <c r="E147" s="1067"/>
      <c r="F147" s="1067"/>
      <c r="G147" s="1067"/>
      <c r="H147" s="1067"/>
      <c r="I147" s="1067"/>
      <c r="J147" s="1067"/>
      <c r="K147" s="1067"/>
      <c r="L147" s="1067"/>
      <c r="M147" s="1067"/>
      <c r="N147" s="1067"/>
      <c r="O147" s="1067"/>
      <c r="P147" s="1067"/>
      <c r="Q147" s="1067"/>
      <c r="R147" s="1067"/>
      <c r="S147" s="1067"/>
      <c r="T147" s="1067"/>
      <c r="U147" s="1067"/>
      <c r="V147" s="1067"/>
      <c r="W147" s="1067"/>
      <c r="X147" s="1067"/>
      <c r="Y147" s="1067"/>
      <c r="Z147" s="1067"/>
      <c r="AA147" s="1067"/>
      <c r="AB147" s="1067"/>
      <c r="AC147" s="1067"/>
      <c r="AD147" s="1067"/>
    </row>
    <row customHeight="1" ht="90">
      <c r="A148" s="1067" t="s">
        <v>1685</v>
      </c>
      <c r="B148" s="1067"/>
      <c r="C148" s="1065" t="s">
        <v>2255</v>
      </c>
      <c r="D148" s="1065" t="s">
        <v>1589</v>
      </c>
      <c r="E148" s="1065" t="s">
        <v>1687</v>
      </c>
      <c r="F148" s="1065" t="s">
        <v>2256</v>
      </c>
      <c r="G148" s="1065"/>
      <c r="H148" s="1065"/>
      <c r="I148" s="1186"/>
      <c r="J148" s="1186"/>
      <c r="K148" s="1186"/>
      <c r="L148" s="1186"/>
      <c r="M148" s="111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1070"/>
      <c r="O148" s="1065"/>
      <c r="P148" s="1066"/>
      <c r="Q148" s="1066"/>
      <c r="R148" s="1066"/>
      <c r="S148" s="1065"/>
      <c r="T148" s="1065" t="s">
        <v>2257</v>
      </c>
      <c r="U148" s="106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1066"/>
      <c r="W148" s="1066"/>
      <c r="X148" s="1065" t="s">
        <v>2258</v>
      </c>
      <c r="Y148" s="1223"/>
      <c r="Z148" s="1068"/>
      <c r="AA148" s="1071"/>
      <c r="AB148" s="1068"/>
      <c r="AC148" s="1068"/>
      <c r="AD148" s="1068"/>
    </row>
    <row customHeight="1" ht="9">
      <c r="A149" s="1067"/>
      <c r="B149" s="1067"/>
      <c r="C149" s="1067"/>
      <c r="D149" s="1067"/>
      <c r="E149" s="1067"/>
      <c r="F149" s="1067"/>
      <c r="G149" s="1067"/>
      <c r="H149" s="1067"/>
      <c r="I149" s="1067"/>
      <c r="J149" s="1067"/>
      <c r="K149" s="1067"/>
      <c r="L149" s="1067"/>
      <c r="M149" s="1067"/>
      <c r="N149" s="1067"/>
      <c r="O149" s="1067"/>
      <c r="P149" s="1067"/>
      <c r="Q149" s="1067"/>
      <c r="R149" s="1067"/>
      <c r="S149" s="1067"/>
      <c r="T149" s="1067"/>
      <c r="U149" s="1067"/>
      <c r="V149" s="1067"/>
      <c r="W149" s="1067"/>
      <c r="X149" s="1067"/>
      <c r="Y149" s="1067"/>
      <c r="Z149" s="1067"/>
      <c r="AA149" s="1067"/>
      <c r="AB149" s="1067"/>
      <c r="AC149" s="1067"/>
      <c r="AD149" s="1067"/>
    </row>
    <row customHeight="1" ht="9">
      <c r="A150" s="1067" t="s">
        <v>1689</v>
      </c>
      <c r="B150" s="1067"/>
      <c r="C150" s="1065"/>
      <c r="D150" s="1065"/>
      <c r="E150" s="1065"/>
      <c r="F150" s="1065"/>
      <c r="G150" s="1065"/>
      <c r="H150" s="1065"/>
      <c r="I150" s="1065"/>
      <c r="J150" s="1065"/>
      <c r="K150" s="1065"/>
      <c r="L150" s="1065"/>
      <c r="M150" s="1065"/>
      <c r="N150" s="1065"/>
      <c r="O150" s="1065"/>
      <c r="P150" s="1065"/>
      <c r="Q150" s="1065"/>
      <c r="R150" s="1065"/>
      <c r="S150" s="1065"/>
      <c r="T150" s="1065"/>
      <c r="U150" s="1065"/>
      <c r="V150" s="1065"/>
      <c r="W150" s="1065"/>
      <c r="X150" s="1065"/>
      <c r="Y150" s="1223"/>
      <c r="Z150" s="1068"/>
      <c r="AA150" s="1071"/>
      <c r="AB150" s="1068"/>
      <c r="AC150" s="1068"/>
      <c r="AD150" s="1068"/>
    </row>
    <row customHeight="1" ht="9">
      <c r="A151" s="1067"/>
      <c r="B151" s="1067"/>
      <c r="C151" s="1067"/>
      <c r="D151" s="1067"/>
      <c r="E151" s="1067"/>
      <c r="F151" s="1067"/>
      <c r="G151" s="1067"/>
      <c r="H151" s="1067"/>
      <c r="I151" s="1067"/>
      <c r="J151" s="1067"/>
      <c r="K151" s="1067"/>
      <c r="L151" s="1067"/>
      <c r="M151" s="1067"/>
      <c r="N151" s="1067"/>
      <c r="O151" s="1067"/>
      <c r="P151" s="1067"/>
      <c r="Q151" s="1067"/>
      <c r="R151" s="1067"/>
      <c r="S151" s="1067"/>
      <c r="T151" s="1067"/>
      <c r="U151" s="1067"/>
      <c r="V151" s="1067"/>
      <c r="W151" s="1067"/>
      <c r="X151" s="1067"/>
      <c r="Y151" s="1067"/>
      <c r="Z151" s="1067"/>
      <c r="AA151" s="1067"/>
      <c r="AB151" s="1067"/>
      <c r="AC151" s="1067"/>
      <c r="AD151" s="1067"/>
    </row>
    <row customHeight="1" ht="9">
      <c r="A152" s="1067" t="s">
        <v>1692</v>
      </c>
      <c r="B152" s="1067"/>
      <c r="C152" s="1065"/>
      <c r="D152" s="1065"/>
      <c r="E152" s="1065"/>
      <c r="F152" s="1065"/>
      <c r="G152" s="1065"/>
      <c r="H152" s="1065"/>
      <c r="I152" s="1065"/>
      <c r="J152" s="1065"/>
      <c r="K152" s="1065"/>
      <c r="L152" s="1065"/>
      <c r="M152" s="1065"/>
      <c r="N152" s="1065"/>
      <c r="O152" s="1065"/>
      <c r="P152" s="1065"/>
      <c r="Q152" s="1065"/>
      <c r="R152" s="1065"/>
      <c r="S152" s="1065"/>
      <c r="T152" s="1065"/>
      <c r="U152" s="1065"/>
      <c r="V152" s="1065"/>
      <c r="W152" s="1065"/>
      <c r="X152" s="1065"/>
      <c r="Y152" s="1223"/>
      <c r="Z152" s="1068"/>
      <c r="AA152" s="1071"/>
      <c r="AB152" s="1068"/>
      <c r="AC152" s="1068"/>
      <c r="AD152" s="1068"/>
    </row>
    <row customHeight="1" ht="9">
      <c r="A153" s="1067"/>
      <c r="B153" s="1067"/>
      <c r="C153" s="1067"/>
      <c r="D153" s="1067"/>
      <c r="E153" s="1067"/>
      <c r="F153" s="1067"/>
      <c r="G153" s="1067"/>
      <c r="H153" s="1067"/>
      <c r="I153" s="1067"/>
      <c r="J153" s="1067"/>
      <c r="K153" s="1067"/>
      <c r="L153" s="1067"/>
      <c r="M153" s="1067"/>
      <c r="N153" s="1067"/>
      <c r="O153" s="1067"/>
      <c r="P153" s="1067"/>
      <c r="Q153" s="1067"/>
      <c r="R153" s="1067"/>
      <c r="S153" s="1067"/>
      <c r="T153" s="1067"/>
      <c r="U153" s="1067"/>
      <c r="V153" s="1067"/>
      <c r="W153" s="1067"/>
      <c r="X153" s="1067"/>
      <c r="Y153" s="1067"/>
      <c r="Z153" s="1067"/>
      <c r="AA153" s="1067"/>
      <c r="AB153" s="1067"/>
      <c r="AC153" s="1067"/>
      <c r="AD153" s="1067"/>
    </row>
    <row customHeight="1" ht="9">
      <c r="A154" s="1067" t="s">
        <v>1696</v>
      </c>
      <c r="B154" s="1067"/>
      <c r="C154" s="1065"/>
      <c r="D154" s="1065"/>
      <c r="E154" s="1065"/>
      <c r="F154" s="1065"/>
      <c r="G154" s="1065"/>
      <c r="H154" s="1065"/>
      <c r="I154" s="1065"/>
      <c r="J154" s="1065"/>
      <c r="K154" s="1065"/>
      <c r="L154" s="1065"/>
      <c r="M154" s="1065"/>
      <c r="N154" s="1065"/>
      <c r="O154" s="1065"/>
      <c r="P154" s="1065"/>
      <c r="Q154" s="1065"/>
      <c r="R154" s="1065"/>
      <c r="S154" s="1065"/>
      <c r="T154" s="1065"/>
      <c r="U154" s="1065"/>
      <c r="V154" s="1065"/>
      <c r="W154" s="1065"/>
      <c r="X154" s="1065"/>
      <c r="Y154" s="1223"/>
      <c r="Z154" s="1068"/>
      <c r="AA154" s="1071"/>
      <c r="AB154" s="1068"/>
      <c r="AC154" s="1068"/>
      <c r="AD154" s="106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88B188-BA8D-23DC-846B-C54EF5622A3C}"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6550" width="10.57421875" hidden="1"/>
    <col min="2" max="2" style="16550" width="11.00390625" hidden="1" customWidth="1"/>
    <col min="3" max="3" style="16550" width="10.57421875" hidden="1"/>
    <col min="4" max="4" style="16550" width="11.8515625" hidden="1" customWidth="1"/>
    <col min="5" max="5" style="16550" width="12.28125" hidden="1" customWidth="1"/>
    <col min="6" max="8" style="16631" width="12.28125" hidden="1" customWidth="1"/>
    <col min="9" max="9" style="22996" width="3.7109375" customWidth="1"/>
    <col min="10" max="11" style="16633" width="3.7109375" customWidth="1"/>
    <col min="12" max="12" style="16634" width="12.7109375" customWidth="1"/>
    <col min="13" max="13" style="16635" width="32.00390625" customWidth="1"/>
    <col min="14" max="14" style="16635" width="1.7109375" customWidth="1"/>
    <col min="15" max="18" style="16635" width="24.7109375" customWidth="1"/>
    <col min="19" max="19" style="16635" width="11.7109375" customWidth="1"/>
    <col min="20" max="20" style="16635" width="3.7109375" customWidth="1"/>
    <col min="21" max="21" style="16635" width="11.7109375" customWidth="1"/>
    <col min="22" max="22" style="16635" width="8.57421875" customWidth="1"/>
    <col min="23" max="23" style="16635" width="4.7109375" customWidth="1"/>
    <col min="24" max="24" style="16635" width="115.7109375" customWidth="1"/>
    <col min="25" max="26" style="16622" width="10.57421875"/>
    <col min="27" max="27" style="16622" width="11.140625" customWidth="1"/>
    <col min="28" max="29" style="16622" width="10.57421875"/>
  </cols>
  <sheetData>
    <row customHeight="1" ht="14.25" hidden="1">
      <c r="R1" s="549"/>
      <c r="S1" s="549"/>
    </row>
    <row customHeight="1" ht="14.25" hidden="1">
      <c r="V2" s="549"/>
    </row>
    <row customHeight="1" ht="14.25" hidden="1"/>
    <row customHeight="1" ht="14.25">
      <c r="J4" s="598"/>
      <c r="K4" s="598"/>
      <c r="L4" s="1502"/>
      <c r="M4" s="585"/>
      <c r="N4" s="585"/>
      <c r="O4" s="731"/>
      <c r="P4" s="731"/>
      <c r="Q4" s="731"/>
      <c r="R4" s="731"/>
      <c r="S4" s="731"/>
      <c r="T4" s="731"/>
      <c r="U4" s="731"/>
      <c r="V4" s="731"/>
    </row>
    <row customHeight="1" ht="64.5">
      <c r="J5" s="598"/>
      <c r="K5" s="598"/>
      <c r="L5" s="2726" t="s">
        <v>2259</v>
      </c>
      <c r="M5" s="2726"/>
      <c r="N5" s="2726"/>
      <c r="O5" s="2726"/>
      <c r="P5" s="2726"/>
      <c r="Q5" s="2726"/>
      <c r="R5" s="2726"/>
      <c r="S5" s="2726"/>
      <c r="T5" s="2726"/>
      <c r="U5" s="2726"/>
      <c r="V5" s="1469"/>
    </row>
    <row customHeight="1" ht="14.25">
      <c r="J6" s="598"/>
      <c r="K6" s="598"/>
      <c r="L6" s="2727" t="str">
        <f>IF(org=0,"Не определено",org)</f>
        <v>КГУП "Примтеплоэнерго"</v>
      </c>
      <c r="M6" s="2727"/>
      <c r="N6" s="2727"/>
      <c r="O6" s="2727"/>
      <c r="P6" s="2727"/>
      <c r="Q6" s="2727"/>
      <c r="R6" s="2727"/>
      <c r="S6" s="2727"/>
      <c r="T6" s="2727"/>
      <c r="U6" s="2727"/>
      <c r="V6" s="1469"/>
    </row>
    <row customHeight="1" ht="14.25">
      <c r="J7" s="598"/>
      <c r="K7" s="598"/>
      <c r="L7" s="1502"/>
      <c r="M7" s="585"/>
      <c r="N7" s="585"/>
      <c r="O7" s="544"/>
      <c r="P7" s="544"/>
      <c r="Q7" s="544"/>
      <c r="R7" s="544"/>
      <c r="S7" s="544"/>
      <c r="T7" s="544"/>
      <c r="U7" s="544"/>
      <c r="V7" s="544"/>
      <c r="W7" s="731"/>
    </row>
    <row s="16563" customFormat="1" customHeight="1" ht="45">
      <c r="A8" s="1595"/>
      <c r="B8" s="1595"/>
      <c r="C8" s="1595"/>
      <c r="D8" s="1595"/>
      <c r="E8" s="1595"/>
      <c r="F8" s="1595"/>
      <c r="G8" s="1595"/>
      <c r="H8" s="1595"/>
      <c r="L8" s="1503"/>
      <c r="M8" s="517" t="s">
        <v>38</v>
      </c>
      <c r="N8" s="526"/>
      <c r="O8" s="2381" t="str">
        <f>IF(TITLE_NAME_OR_PR_CHANGE="",IF(TITLE_NAME_OR_PR="","",TITLE_NAME_OR_PR),TITLE_NAME_OR_PR_CHANGE)</f>
        <v/>
      </c>
      <c r="P8" s="2381"/>
      <c r="Q8" s="2381"/>
      <c r="R8" s="2381"/>
      <c r="S8" s="2381"/>
      <c r="T8" s="2381"/>
      <c r="U8" s="2381"/>
      <c r="V8" s="548"/>
      <c r="W8" s="548"/>
      <c r="X8" s="502"/>
      <c r="Y8" s="590"/>
      <c r="Z8" s="590"/>
      <c r="AA8" s="590"/>
      <c r="AB8" s="590"/>
      <c r="AC8" s="590"/>
    </row>
    <row s="16563" customFormat="1" customHeight="1" ht="22.5">
      <c r="A9" s="1595"/>
      <c r="B9" s="1595"/>
      <c r="C9" s="1595"/>
      <c r="D9" s="1595"/>
      <c r="E9" s="1595"/>
      <c r="F9" s="1595"/>
      <c r="G9" s="1595"/>
      <c r="H9" s="1595"/>
      <c r="L9" s="1503"/>
      <c r="M9" s="517" t="s">
        <v>527</v>
      </c>
      <c r="N9" s="526"/>
      <c r="O9" s="2381" t="str">
        <f>IF(TITLE_DATE_CHANGE_PERIOD="",IF(TITLE_DATE_PR="","",TITLE_DATE_PR),TITLE_DATE_CHANGE_PERIOD)</f>
        <v>45658.471608796295</v>
      </c>
      <c r="P9" s="2381"/>
      <c r="Q9" s="2381"/>
      <c r="R9" s="2381"/>
      <c r="S9" s="2381"/>
      <c r="T9" s="2381"/>
      <c r="U9" s="2381"/>
      <c r="V9" s="548"/>
      <c r="W9" s="548"/>
      <c r="X9" s="502"/>
      <c r="Y9" s="590"/>
      <c r="Z9" s="590"/>
      <c r="AA9" s="590"/>
      <c r="AB9" s="590"/>
      <c r="AC9" s="590"/>
    </row>
    <row s="16563" customFormat="1" customHeight="1" ht="22.5">
      <c r="A10" s="1595"/>
      <c r="B10" s="1595"/>
      <c r="C10" s="1595"/>
      <c r="D10" s="1595"/>
      <c r="E10" s="1595"/>
      <c r="F10" s="1595"/>
      <c r="G10" s="1595"/>
      <c r="H10" s="1595"/>
      <c r="L10" s="1476"/>
      <c r="M10" s="517" t="s">
        <v>528</v>
      </c>
      <c r="N10" s="526"/>
      <c r="O10" s="2381" t="str">
        <f>IF(TITLE_NUMBER_PR_CHANGE="",IF(TITLE_NUMBER_PR="","",TITLE_NUMBER_PR),TITLE_NUMBER_PR_CHANGE)</f>
        <v>27-2067</v>
      </c>
      <c r="P10" s="2381"/>
      <c r="Q10" s="2381"/>
      <c r="R10" s="2381"/>
      <c r="S10" s="2381"/>
      <c r="T10" s="2381"/>
      <c r="U10" s="2381"/>
      <c r="V10" s="548"/>
      <c r="W10" s="548"/>
      <c r="X10" s="502"/>
      <c r="Y10" s="590"/>
      <c r="Z10" s="590"/>
      <c r="AA10" s="590"/>
      <c r="AB10" s="590"/>
      <c r="AC10" s="590"/>
    </row>
    <row s="16563" customFormat="1" customHeight="1" ht="22.5">
      <c r="A11" s="1595"/>
      <c r="B11" s="1595"/>
      <c r="C11" s="1595"/>
      <c r="D11" s="1595"/>
      <c r="E11" s="1595"/>
      <c r="F11" s="1595"/>
      <c r="G11" s="1595"/>
      <c r="H11" s="1595"/>
      <c r="L11" s="1476"/>
      <c r="M11" s="517" t="s">
        <v>39</v>
      </c>
      <c r="N11" s="526"/>
      <c r="O11" s="2381" t="str">
        <f>IF(TITLE_IST_PUB_CHANGE="",IF(TITLE_IST_PUB="","",TITLE_IST_PUB),TITLE_IST_PUB_CHANGE)</f>
        <v/>
      </c>
      <c r="P11" s="2381"/>
      <c r="Q11" s="2381"/>
      <c r="R11" s="2381"/>
      <c r="S11" s="2381"/>
      <c r="T11" s="2381"/>
      <c r="U11" s="2381"/>
      <c r="V11" s="548"/>
      <c r="W11" s="548"/>
      <c r="X11" s="502"/>
      <c r="Y11" s="590"/>
      <c r="Z11" s="590"/>
      <c r="AA11" s="590"/>
      <c r="AB11" s="590"/>
      <c r="AC11" s="590"/>
    </row>
    <row s="16563" customFormat="1" customHeight="1" ht="11.25" hidden="1">
      <c r="A12" s="1595"/>
      <c r="B12" s="1595"/>
      <c r="C12" s="1595"/>
      <c r="D12" s="1595"/>
      <c r="E12" s="1595"/>
      <c r="F12" s="1595"/>
      <c r="G12" s="1595"/>
      <c r="H12" s="1595"/>
      <c r="L12" s="2725"/>
      <c r="M12" s="2725"/>
      <c r="N12" s="1514"/>
      <c r="O12" s="548"/>
      <c r="P12" s="548"/>
      <c r="Q12" s="548"/>
      <c r="R12" s="548"/>
      <c r="S12" s="548"/>
      <c r="T12" s="548"/>
      <c r="U12" s="548"/>
      <c r="V12" s="500" t="s">
        <v>531</v>
      </c>
      <c r="Y12" s="590"/>
      <c r="Z12" s="590"/>
      <c r="AA12" s="590"/>
      <c r="AB12" s="590"/>
      <c r="AC12" s="590"/>
    </row>
    <row customHeight="1" ht="14.25">
      <c r="J13" s="598"/>
      <c r="K13" s="598"/>
      <c r="L13" s="1502"/>
      <c r="M13" s="585"/>
      <c r="N13" s="1470"/>
      <c r="O13" s="2405"/>
      <c r="P13" s="2405"/>
      <c r="Q13" s="2405"/>
      <c r="R13" s="2405"/>
      <c r="S13" s="2405"/>
      <c r="T13" s="2405"/>
      <c r="U13" s="2405"/>
      <c r="V13" s="2405"/>
    </row>
    <row customHeight="1" ht="14.25">
      <c r="J14" s="598"/>
      <c r="K14" s="598"/>
      <c r="L14" s="2253" t="s">
        <v>406</v>
      </c>
      <c r="M14" s="2253"/>
      <c r="N14" s="2253"/>
      <c r="O14" s="2253"/>
      <c r="P14" s="2253"/>
      <c r="Q14" s="2253"/>
      <c r="R14" s="2253"/>
      <c r="S14" s="2253"/>
      <c r="T14" s="2253"/>
      <c r="U14" s="2253"/>
      <c r="V14" s="2253"/>
      <c r="W14" s="2253"/>
      <c r="X14" s="2253" t="s">
        <v>407</v>
      </c>
    </row>
    <row customHeight="1" ht="14.25">
      <c r="J15" s="598"/>
      <c r="K15" s="598"/>
      <c r="L15" s="2406" t="s">
        <v>84</v>
      </c>
      <c r="M15" s="2343" t="s">
        <v>532</v>
      </c>
      <c r="N15" s="523"/>
      <c r="O15" s="2407" t="s">
        <v>2260</v>
      </c>
      <c r="P15" s="2408"/>
      <c r="Q15" s="2408"/>
      <c r="R15" s="2408"/>
      <c r="S15" s="2408"/>
      <c r="T15" s="2408"/>
      <c r="U15" s="2409"/>
      <c r="V15" s="2410" t="s">
        <v>534</v>
      </c>
      <c r="W15" s="2413" t="s">
        <v>1168</v>
      </c>
      <c r="X15" s="2253"/>
    </row>
    <row customHeight="1" ht="33.75">
      <c r="J16" s="598"/>
      <c r="K16" s="598"/>
      <c r="L16" s="2406"/>
      <c r="M16" s="2343"/>
      <c r="N16" s="1254"/>
      <c r="O16" s="2416" t="s">
        <v>537</v>
      </c>
      <c r="P16" s="2416" t="s">
        <v>538</v>
      </c>
      <c r="Q16" s="2399" t="s">
        <v>539</v>
      </c>
      <c r="R16" s="2401"/>
      <c r="S16" s="2399" t="s">
        <v>552</v>
      </c>
      <c r="T16" s="2400"/>
      <c r="U16" s="2401"/>
      <c r="V16" s="2411"/>
      <c r="W16" s="2414"/>
      <c r="X16" s="2253"/>
    </row>
    <row customHeight="1" ht="33.75">
      <c r="A17" s="1597" t="s">
        <v>190</v>
      </c>
      <c r="B17" s="1597" t="s">
        <v>191</v>
      </c>
      <c r="C17" s="1597" t="s">
        <v>192</v>
      </c>
      <c r="D17" s="1597" t="s">
        <v>193</v>
      </c>
      <c r="E17" s="1597"/>
      <c r="J17" s="598"/>
      <c r="K17" s="598"/>
      <c r="L17" s="2406"/>
      <c r="M17" s="2343"/>
      <c r="N17" s="524"/>
      <c r="O17" s="2417"/>
      <c r="P17" s="2417"/>
      <c r="Q17" s="1448" t="s">
        <v>548</v>
      </c>
      <c r="R17" s="1448" t="s">
        <v>549</v>
      </c>
      <c r="S17" s="1519" t="s">
        <v>550</v>
      </c>
      <c r="T17" s="2402" t="s">
        <v>551</v>
      </c>
      <c r="U17" s="2403"/>
      <c r="V17" s="2412"/>
      <c r="W17" s="2415"/>
      <c r="X17" s="2253"/>
    </row>
    <row s="16382" customFormat="1" customHeight="1" ht="11.25">
      <c r="A18" s="1597"/>
      <c r="B18" s="1597"/>
      <c r="C18" s="1597"/>
      <c r="D18" s="1597"/>
      <c r="E18" s="1597"/>
      <c r="F18" s="1589"/>
      <c r="G18" s="1589"/>
      <c r="H18" s="1589"/>
      <c r="I18" s="1472"/>
      <c r="J18" s="1473"/>
      <c r="K18" s="1480">
        <v>1</v>
      </c>
      <c r="L18" s="1504" t="s">
        <v>168</v>
      </c>
      <c r="M18" s="1481" t="s">
        <v>99</v>
      </c>
      <c r="N18" s="1471" t="str">
        <f>OFFSET(N18,0,-1)</f>
        <v>2</v>
      </c>
      <c r="O18" s="1516">
        <f>OFFSET(O18,0,-1)+1</f>
        <v>3</v>
      </c>
      <c r="P18" s="1516"/>
      <c r="Q18" s="1516">
        <f>OFFSET(Q18,0,-1)+1</f>
        <v>1</v>
      </c>
      <c r="R18" s="1516">
        <f>OFFSET(R18,0,-1)+1</f>
        <v>2</v>
      </c>
      <c r="S18" s="1516">
        <f>OFFSET(S18,0,-1)+1</f>
        <v>3</v>
      </c>
      <c r="T18" s="2404">
        <f>OFFSET(T18,0,-1)+1</f>
        <v>4</v>
      </c>
      <c r="U18" s="2404"/>
      <c r="V18" s="1516">
        <f>OFFSET(V18,0,-2)+1</f>
        <v>5</v>
      </c>
      <c r="W18" s="1471">
        <f>OFFSET(W18,0,-1)</f>
        <v>5</v>
      </c>
      <c r="X18" s="1516">
        <f>OFFSET(X18,0,-1)+1</f>
        <v>6</v>
      </c>
      <c r="Y18" s="733"/>
      <c r="Z18" s="733"/>
      <c r="AA18" s="733"/>
      <c r="AB18" s="733"/>
      <c r="AC18" s="733"/>
    </row>
    <row customHeight="1" ht="21">
      <c r="A19" s="1590" t="s">
        <v>218</v>
      </c>
      <c r="B19" s="1590" t="s">
        <v>219</v>
      </c>
      <c r="C19" s="1590" t="s">
        <v>220</v>
      </c>
      <c r="D19" s="1590" t="s">
        <v>221</v>
      </c>
      <c r="E19" s="1590"/>
      <c r="F19" s="1592"/>
      <c r="G19" s="1592"/>
      <c r="H19" s="1592"/>
      <c r="I19" s="583"/>
      <c r="J19" s="582"/>
      <c r="K19" s="577"/>
      <c r="L19" s="1520">
        <f>INDEX(PT_DIFFERENTIATION_NUM_NTAR,MATCH(A19,PT_DIFFERENTIATION_NTAR_ID,0))</f>
        <v>0</v>
      </c>
      <c r="M19" s="520" t="s">
        <v>179</v>
      </c>
      <c r="N19" s="522"/>
      <c r="O19" s="2719" t="str">
        <f>INDEX(PT_DIFFERENTIATION_NTAR,MATCH(A19,PT_DIFFERENTIATION_NTAR_ID,0))</f>
        <v/>
      </c>
      <c r="P19" s="2719"/>
      <c r="Q19" s="2719"/>
      <c r="R19" s="2719"/>
      <c r="S19" s="2719"/>
      <c r="T19" s="2719"/>
      <c r="U19" s="2719"/>
      <c r="V19" s="2719"/>
      <c r="W19" s="2719"/>
      <c r="X19" s="1484" t="s">
        <v>502</v>
      </c>
      <c r="Z19" s="722"/>
      <c r="AA19" s="722" t="str">
        <f>IF(M19="","",M19)</f>
        <v>Наименование тарифа</v>
      </c>
      <c r="AB19" s="722"/>
      <c r="AC19" s="722"/>
    </row>
    <row customHeight="1" ht="21">
      <c r="A20" s="1590" t="s">
        <v>218</v>
      </c>
      <c r="B20" s="1590" t="s">
        <v>219</v>
      </c>
      <c r="C20" s="1590" t="s">
        <v>220</v>
      </c>
      <c r="D20" s="1590" t="s">
        <v>221</v>
      </c>
      <c r="E20" s="1590"/>
      <c r="F20" s="1592"/>
      <c r="G20" s="1592"/>
      <c r="H20" s="1592"/>
      <c r="I20" s="1517"/>
      <c r="J20" s="574"/>
      <c r="K20" s="575"/>
      <c r="L20" s="1520" t="str">
        <f>INDEX(PT_DIFFERENTIATION_NUM_TER,MATCH(B19,PT_DIFFERENTIATION_TER_ID,0))</f>
        <v>.</v>
      </c>
      <c r="M20" s="530" t="s">
        <v>503</v>
      </c>
      <c r="N20" s="522"/>
      <c r="O20" s="2719" t="str">
        <f>INDEX(PT_DIFFERENTIATION_TER,MATCH(B19,PT_DIFFERENTIATION_TER_ID,0))</f>
        <v/>
      </c>
      <c r="P20" s="2719"/>
      <c r="Q20" s="2719"/>
      <c r="R20" s="2719"/>
      <c r="S20" s="2719"/>
      <c r="T20" s="2719"/>
      <c r="U20" s="2719"/>
      <c r="V20" s="2719"/>
      <c r="W20" s="2719"/>
      <c r="X20" s="1484" t="s">
        <v>504</v>
      </c>
      <c r="Z20" s="722"/>
      <c r="AA20" s="722" t="str">
        <f>IF(M20="","",M20)</f>
        <v>Территория действия тарифа</v>
      </c>
      <c r="AB20" s="722"/>
      <c r="AC20" s="722"/>
    </row>
    <row customHeight="1" ht="22.5">
      <c r="A21" s="1590" t="s">
        <v>218</v>
      </c>
      <c r="B21" s="1590" t="s">
        <v>219</v>
      </c>
      <c r="C21" s="1590" t="s">
        <v>220</v>
      </c>
      <c r="D21" s="1590" t="s">
        <v>221</v>
      </c>
      <c r="E21" s="1590"/>
      <c r="F21" s="1592"/>
      <c r="G21" s="1592"/>
      <c r="H21" s="1592"/>
      <c r="I21" s="576"/>
      <c r="J21" s="574"/>
      <c r="K21" s="575"/>
      <c r="L21" s="1520" t="str">
        <f>INDEX(PT_DIFFERENTIATION_NUM_CS,MATCH(C19,PT_DIFFERENTIATION_CS_ID,0))</f>
        <v>..</v>
      </c>
      <c r="M21" s="531" t="s">
        <v>505</v>
      </c>
      <c r="N21" s="522"/>
      <c r="O21" s="2719" t="str">
        <f>INDEX(PT_DIFFERENTIATION_CS,MATCH(C19,PT_DIFFERENTIATION_CS_ID,0))</f>
        <v/>
      </c>
      <c r="P21" s="2719"/>
      <c r="Q21" s="2719"/>
      <c r="R21" s="2719"/>
      <c r="S21" s="2719"/>
      <c r="T21" s="2719"/>
      <c r="U21" s="2719"/>
      <c r="V21" s="2719"/>
      <c r="W21" s="2719"/>
      <c r="X21" s="1484" t="s">
        <v>506</v>
      </c>
      <c r="Z21" s="722"/>
      <c r="AA21" s="722" t="str">
        <f>IF(M21="","",M21)</f>
        <v>Наименование системы теплоснабжения </v>
      </c>
      <c r="AB21" s="722"/>
      <c r="AC21" s="722"/>
    </row>
    <row customHeight="1" ht="21">
      <c r="A22" s="1590" t="s">
        <v>218</v>
      </c>
      <c r="B22" s="1590" t="s">
        <v>219</v>
      </c>
      <c r="C22" s="1590" t="s">
        <v>220</v>
      </c>
      <c r="D22" s="1590" t="s">
        <v>221</v>
      </c>
      <c r="E22" s="1590"/>
      <c r="F22" s="1592"/>
      <c r="G22" s="1592"/>
      <c r="H22" s="1592"/>
      <c r="I22" s="576"/>
      <c r="J22" s="574"/>
      <c r="K22" s="575"/>
      <c r="L22" s="1520" t="str">
        <f>INDEX(PT_DIFFERENTIATION_NUM_IST_TE,MATCH(D19,PT_DIFFERENTIATION_IST_TE_ID,0))</f>
        <v>...</v>
      </c>
      <c r="M22" s="532" t="s">
        <v>507</v>
      </c>
      <c r="N22" s="522"/>
      <c r="O22" s="2719" t="str">
        <f>INDEX(PT_DIFFERENTIATION_IST_TE,MATCH(D19,PT_DIFFERENTIATION_IST_TE_ID,0))</f>
        <v/>
      </c>
      <c r="P22" s="2719"/>
      <c r="Q22" s="2719"/>
      <c r="R22" s="2719"/>
      <c r="S22" s="2719"/>
      <c r="T22" s="2719"/>
      <c r="U22" s="2719"/>
      <c r="V22" s="2719"/>
      <c r="W22" s="2719"/>
      <c r="X22" s="1484" t="s">
        <v>508</v>
      </c>
      <c r="Z22" s="722"/>
      <c r="AA22" s="722" t="str">
        <f>IF(M22="","",M22)</f>
        <v>Источник тепловой энергии  </v>
      </c>
      <c r="AB22" s="722"/>
      <c r="AC22" s="722"/>
    </row>
    <row customHeight="1" ht="94.5">
      <c r="A23" s="1590" t="s">
        <v>218</v>
      </c>
      <c r="B23" s="1590" t="s">
        <v>219</v>
      </c>
      <c r="C23" s="1590" t="s">
        <v>220</v>
      </c>
      <c r="D23" s="1590" t="s">
        <v>221</v>
      </c>
      <c r="E23" s="1590"/>
      <c r="F23" s="2720" t="str">
        <f>L22&amp;".1"</f>
        <v>....1</v>
      </c>
      <c r="I23" s="2392">
        <v>1</v>
      </c>
      <c r="J23" s="1518"/>
      <c r="K23" s="578"/>
      <c r="L23" s="1520" t="str">
        <f>$F$23</f>
        <v>....1</v>
      </c>
      <c r="M23" s="507" t="s">
        <v>510</v>
      </c>
      <c r="N23" s="522"/>
      <c r="O23" s="2721"/>
      <c r="P23" s="2721"/>
      <c r="Q23" s="2721"/>
      <c r="R23" s="2721"/>
      <c r="S23" s="2721"/>
      <c r="T23" s="2721"/>
      <c r="U23" s="2721"/>
      <c r="V23" s="2721"/>
      <c r="W23" s="2721"/>
      <c r="X23" s="1484" t="s">
        <v>511</v>
      </c>
      <c r="Z23" s="722"/>
      <c r="AA23" s="722" t="str">
        <f>IF(M23="","",M23)</f>
        <v>Схема подключения теплопотребляющей установки к коллектору источника тепловой энергии</v>
      </c>
      <c r="AB23" s="722"/>
      <c r="AC23" s="722"/>
    </row>
    <row customHeight="1" ht="84">
      <c r="A24" s="1590" t="s">
        <v>218</v>
      </c>
      <c r="B24" s="1590" t="s">
        <v>219</v>
      </c>
      <c r="C24" s="1590" t="s">
        <v>220</v>
      </c>
      <c r="D24" s="1590" t="s">
        <v>221</v>
      </c>
      <c r="E24" s="1590"/>
      <c r="F24" s="2720"/>
      <c r="G24" s="2363" t="str">
        <f>F23&amp;".1"</f>
        <v>....1.1</v>
      </c>
      <c r="I24" s="2392"/>
      <c r="J24" s="2392">
        <v>1</v>
      </c>
      <c r="K24" s="579"/>
      <c r="L24" s="1520" t="str">
        <f>$G$24</f>
        <v>....1.1</v>
      </c>
      <c r="M24" s="508" t="s">
        <v>513</v>
      </c>
      <c r="N24" s="522"/>
      <c r="O24" s="2722"/>
      <c r="P24" s="2723"/>
      <c r="Q24" s="2723"/>
      <c r="R24" s="2723"/>
      <c r="S24" s="2723"/>
      <c r="T24" s="2723"/>
      <c r="U24" s="2723"/>
      <c r="V24" s="2723"/>
      <c r="W24" s="2724"/>
      <c r="X24" s="1484" t="s">
        <v>514</v>
      </c>
      <c r="Z24" s="722"/>
      <c r="AA24" s="722" t="str">
        <f>IF(M24="","",M24)</f>
        <v>Группа потребителей</v>
      </c>
      <c r="AB24" s="722"/>
      <c r="AC24" s="722"/>
    </row>
    <row customHeight="1" ht="11.25">
      <c r="A25" s="1590" t="s">
        <v>218</v>
      </c>
      <c r="B25" s="1590" t="s">
        <v>219</v>
      </c>
      <c r="C25" s="1590" t="s">
        <v>220</v>
      </c>
      <c r="D25" s="1590" t="s">
        <v>221</v>
      </c>
      <c r="E25" s="1590"/>
      <c r="F25" s="2720"/>
      <c r="G25" s="2363"/>
      <c r="H25" s="2363" t="str">
        <f>G24&amp;".1"</f>
        <v>....1.1.1</v>
      </c>
      <c r="I25" s="2392"/>
      <c r="J25" s="2392"/>
      <c r="K25" s="579">
        <v>1</v>
      </c>
      <c r="L25" s="1520" t="str">
        <f>$H$25</f>
        <v>....1.1.1</v>
      </c>
      <c r="M25" s="1485"/>
      <c r="N25" s="522"/>
      <c r="O25" s="973"/>
      <c r="P25" s="547"/>
      <c r="Q25" s="973"/>
      <c r="R25" s="1483"/>
      <c r="S25" s="2728"/>
      <c r="T25" s="2263" t="s">
        <v>63</v>
      </c>
      <c r="U25" s="2728"/>
      <c r="V25" s="2263" t="s">
        <v>53</v>
      </c>
      <c r="W25" s="547"/>
      <c r="X25" s="2418" t="s">
        <v>516</v>
      </c>
      <c r="Y25" s="733">
        <f>STRCHECKDATE(O26:W26)</f>
      </c>
      <c r="Z25" s="722"/>
      <c r="AA25" s="722" t="str">
        <f>IF(M25="","",M25)</f>
        <v/>
      </c>
      <c r="AB25" s="722"/>
      <c r="AC25" s="722"/>
    </row>
    <row customHeight="1" ht="11.25">
      <c r="A26" s="1590" t="s">
        <v>218</v>
      </c>
      <c r="B26" s="1590" t="s">
        <v>219</v>
      </c>
      <c r="C26" s="1590" t="s">
        <v>220</v>
      </c>
      <c r="D26" s="1590" t="s">
        <v>221</v>
      </c>
      <c r="E26" s="1590"/>
      <c r="F26" s="2720"/>
      <c r="G26" s="2363"/>
      <c r="H26" s="2363"/>
      <c r="I26" s="2392"/>
      <c r="J26" s="2392"/>
      <c r="K26" s="579"/>
      <c r="L26" s="1521"/>
      <c r="M26" s="522"/>
      <c r="N26" s="522"/>
      <c r="O26" s="547"/>
      <c r="P26" s="547"/>
      <c r="Q26" s="547"/>
      <c r="R26" s="550" t="str">
        <f>S25&amp;"-"&amp;U25</f>
        <v>-</v>
      </c>
      <c r="S26" s="2394"/>
      <c r="T26" s="2263"/>
      <c r="U26" s="2394"/>
      <c r="V26" s="2263"/>
      <c r="W26" s="547"/>
      <c r="X26" s="2419"/>
      <c r="Z26" s="722"/>
      <c r="AA26" s="722" t="str">
        <f>IF(M26="","",M26)</f>
        <v/>
      </c>
      <c r="AB26" s="722"/>
      <c r="AC26" s="722"/>
    </row>
    <row customHeight="1" ht="15">
      <c r="A27" s="1590" t="s">
        <v>218</v>
      </c>
      <c r="B27" s="1590" t="s">
        <v>219</v>
      </c>
      <c r="C27" s="1590" t="s">
        <v>220</v>
      </c>
      <c r="D27" s="1590" t="s">
        <v>221</v>
      </c>
      <c r="E27" s="1590"/>
      <c r="F27" s="2720"/>
      <c r="G27" s="2363"/>
      <c r="I27" s="2392"/>
      <c r="J27" s="2392"/>
      <c r="K27" s="578"/>
      <c r="L27" s="1505"/>
      <c r="M27" s="510" t="s">
        <v>517</v>
      </c>
      <c r="N27" s="589"/>
      <c r="O27" s="589"/>
      <c r="P27" s="589"/>
      <c r="Q27" s="589"/>
      <c r="R27" s="589"/>
      <c r="S27" s="589"/>
      <c r="T27" s="589"/>
      <c r="U27" s="589"/>
      <c r="V27" s="589"/>
      <c r="W27" s="546"/>
      <c r="X27" s="2420"/>
      <c r="Z27" s="722"/>
      <c r="AA27" s="722" t="str">
        <f>IF(M27="","",M27)</f>
        <v>Добавить вид теплоносителя (параметры теплоносителя)</v>
      </c>
      <c r="AB27" s="722"/>
      <c r="AC27" s="722"/>
    </row>
    <row customHeight="1" ht="15">
      <c r="A28" s="1590" t="s">
        <v>218</v>
      </c>
      <c r="B28" s="1590" t="s">
        <v>219</v>
      </c>
      <c r="C28" s="1590" t="s">
        <v>220</v>
      </c>
      <c r="D28" s="1590" t="s">
        <v>221</v>
      </c>
      <c r="E28" s="1590"/>
      <c r="F28" s="2720"/>
      <c r="I28" s="2392"/>
      <c r="J28" s="1518"/>
      <c r="K28" s="578"/>
      <c r="L28" s="1505"/>
      <c r="M28" s="509" t="s">
        <v>518</v>
      </c>
      <c r="N28" s="589"/>
      <c r="O28" s="589"/>
      <c r="P28" s="589"/>
      <c r="Q28" s="589"/>
      <c r="R28" s="589"/>
      <c r="S28" s="589"/>
      <c r="T28" s="589"/>
      <c r="U28" s="589"/>
      <c r="V28" s="588"/>
      <c r="W28" s="589"/>
      <c r="X28" s="525"/>
      <c r="Z28" s="722"/>
      <c r="AA28" s="722" t="str">
        <f>IF(M28="","",M28)</f>
        <v>Добавить группу потребителей</v>
      </c>
      <c r="AB28" s="722"/>
      <c r="AC28" s="722"/>
    </row>
    <row customHeight="1" ht="14.25">
      <c r="A29" s="1590" t="s">
        <v>218</v>
      </c>
      <c r="B29" s="1590" t="s">
        <v>219</v>
      </c>
      <c r="C29" s="1590" t="s">
        <v>220</v>
      </c>
      <c r="D29" s="1590" t="s">
        <v>221</v>
      </c>
      <c r="E29" s="1590"/>
      <c r="F29" s="1592"/>
      <c r="G29" s="1592"/>
      <c r="H29" s="759"/>
      <c r="I29" s="582"/>
      <c r="J29" s="597"/>
      <c r="K29" s="577"/>
      <c r="L29" s="1505"/>
      <c r="M29" s="587" t="s">
        <v>519</v>
      </c>
      <c r="N29" s="589"/>
      <c r="O29" s="589"/>
      <c r="P29" s="589"/>
      <c r="Q29" s="589"/>
      <c r="R29" s="589"/>
      <c r="S29" s="589"/>
      <c r="T29" s="589"/>
      <c r="U29" s="589"/>
      <c r="V29" s="588"/>
      <c r="W29" s="589"/>
      <c r="X29" s="525"/>
      <c r="Z29" s="722"/>
      <c r="AA29" s="722" t="str">
        <f>IF(M29="","",M29)</f>
        <v>Добавить схему подключения</v>
      </c>
      <c r="AB29" s="722"/>
      <c r="AC29" s="722"/>
    </row>
    <row customHeight="1" ht="14.25">
      <c r="A30" s="1590" t="s">
        <v>218</v>
      </c>
      <c r="B30" s="1590" t="s">
        <v>219</v>
      </c>
      <c r="C30" s="1590" t="s">
        <v>220</v>
      </c>
      <c r="D30" s="1590"/>
      <c r="E30" s="1590" t="s">
        <v>692</v>
      </c>
      <c r="F30" s="1592"/>
      <c r="G30" s="1592"/>
      <c r="H30" s="759"/>
      <c r="I30" s="582"/>
      <c r="J30" s="597"/>
      <c r="K30" s="577"/>
      <c r="L30" s="1506"/>
      <c r="M30" s="1495"/>
      <c r="N30" s="1496"/>
      <c r="O30" s="1496"/>
      <c r="P30" s="1496"/>
      <c r="Q30" s="1496"/>
      <c r="R30" s="1496"/>
      <c r="S30" s="1496"/>
      <c r="T30" s="1496"/>
      <c r="U30" s="1496"/>
      <c r="V30" s="1497"/>
      <c r="W30" s="1496"/>
      <c r="X30" s="1498"/>
      <c r="Z30" s="722"/>
      <c r="AA30" s="722" t="str">
        <f>IF(M30="","",M30)</f>
        <v/>
      </c>
      <c r="AB30" s="722"/>
      <c r="AC30" s="722"/>
    </row>
    <row customHeight="1" ht="14.25">
      <c r="A31" s="1590" t="s">
        <v>218</v>
      </c>
      <c r="B31" s="1590" t="s">
        <v>219</v>
      </c>
      <c r="C31" s="1590"/>
      <c r="D31" s="1590"/>
      <c r="E31" s="1590" t="s">
        <v>2261</v>
      </c>
      <c r="F31" s="1744"/>
      <c r="G31" s="1744"/>
      <c r="H31" s="759"/>
      <c r="I31" s="580"/>
      <c r="J31" s="597"/>
      <c r="K31" s="581"/>
      <c r="L31" s="1506"/>
      <c r="M31" s="1499"/>
      <c r="N31" s="1496"/>
      <c r="O31" s="1496"/>
      <c r="P31" s="1496"/>
      <c r="Q31" s="1496"/>
      <c r="R31" s="1496"/>
      <c r="S31" s="1496"/>
      <c r="T31" s="1496"/>
      <c r="U31" s="1496"/>
      <c r="V31" s="1497"/>
      <c r="W31" s="1496"/>
      <c r="X31" s="1498"/>
      <c r="Z31" s="722"/>
      <c r="AA31" s="722" t="str">
        <f>IF(M31="","",M31)</f>
        <v/>
      </c>
      <c r="AB31" s="722"/>
      <c r="AC31" s="722"/>
    </row>
    <row customHeight="1" ht="14.25">
      <c r="A32" s="1590" t="s">
        <v>2262</v>
      </c>
      <c r="B32" s="1590"/>
      <c r="C32" s="1590"/>
      <c r="D32" s="1590"/>
      <c r="E32" s="1590" t="s">
        <v>163</v>
      </c>
      <c r="F32" s="1744"/>
      <c r="G32" s="1744"/>
      <c r="H32" s="759"/>
      <c r="I32" s="582"/>
      <c r="J32" s="597"/>
      <c r="K32" s="577"/>
      <c r="L32" s="1506"/>
      <c r="M32" s="1500"/>
      <c r="N32" s="1496"/>
      <c r="O32" s="1496"/>
      <c r="P32" s="1496"/>
      <c r="Q32" s="1496"/>
      <c r="R32" s="1496"/>
      <c r="S32" s="1496"/>
      <c r="T32" s="1496"/>
      <c r="U32" s="1496"/>
      <c r="V32" s="1497"/>
      <c r="W32" s="1496"/>
      <c r="X32" s="1498"/>
      <c r="Z32" s="722"/>
      <c r="AA32" s="722" t="str">
        <f>IF(M32="","",M32)</f>
        <v/>
      </c>
      <c r="AB32" s="722"/>
      <c r="AC32" s="722"/>
    </row>
    <row s="22989" customFormat="1" customHeight="1" ht="11.25">
      <c r="A33" s="1590"/>
      <c r="B33" s="1590"/>
      <c r="C33" s="1590"/>
      <c r="D33" s="1590"/>
      <c r="E33" s="1590" t="s">
        <v>359</v>
      </c>
      <c r="F33" s="1745"/>
      <c r="G33" s="1746"/>
      <c r="H33" s="759"/>
      <c r="L33" s="1507"/>
      <c r="M33" s="1501"/>
      <c r="N33" s="1496"/>
      <c r="O33" s="1496"/>
      <c r="P33" s="1496"/>
      <c r="Q33" s="1496"/>
      <c r="R33" s="1496"/>
      <c r="S33" s="1496"/>
      <c r="T33" s="1496"/>
      <c r="U33" s="1496"/>
      <c r="V33" s="1497"/>
      <c r="W33" s="1496"/>
      <c r="X33" s="1498"/>
      <c r="Y33" s="601"/>
      <c r="Z33" s="601"/>
      <c r="AA33" s="601"/>
      <c r="AB33" s="601"/>
      <c r="AC33" s="601"/>
    </row>
    <row customHeight="1" ht="11.25">
      <c r="F34" s="1384"/>
      <c r="G34" s="1384"/>
      <c r="H34" s="759"/>
      <c r="I34" s="1379"/>
      <c r="J34" s="1379"/>
      <c r="K34" s="1379"/>
      <c r="Y34" s="1379"/>
      <c r="Z34" s="1379"/>
      <c r="AA34" s="1379"/>
      <c r="AB34" s="1379"/>
      <c r="AC34" s="1379"/>
    </row>
    <row customHeight="1" ht="27">
      <c r="H35" s="759"/>
      <c r="L35" s="1515" t="s">
        <v>824</v>
      </c>
      <c r="M35" s="2387" t="s">
        <v>2263</v>
      </c>
      <c r="N35" s="2387"/>
      <c r="O35" s="2387"/>
      <c r="P35" s="2387"/>
      <c r="Q35" s="2387"/>
      <c r="R35" s="2387"/>
      <c r="S35" s="2387"/>
      <c r="T35" s="2387"/>
      <c r="U35" s="2387"/>
      <c r="V35" s="2387"/>
      <c r="W35" s="2387"/>
      <c r="X35" s="2387"/>
    </row>
    <row customHeight="1" ht="104.25">
      <c r="H36" s="759"/>
      <c r="I36" s="1530"/>
      <c r="M36" s="2387" t="s">
        <v>2264</v>
      </c>
      <c r="N36" s="2387"/>
      <c r="O36" s="2387"/>
      <c r="P36" s="2387"/>
      <c r="Q36" s="2387"/>
      <c r="R36" s="2387"/>
      <c r="S36" s="2387"/>
      <c r="T36" s="2387"/>
      <c r="U36" s="2387"/>
      <c r="V36" s="2387"/>
      <c r="W36" s="2387"/>
      <c r="X36" s="2387"/>
    </row>
    <row customHeight="1" ht="14.25">
      <c r="H37" s="759"/>
    </row>
    <row customHeight="1" ht="14.25">
      <c r="H38" s="759"/>
    </row>
    <row customHeight="1" ht="14.25">
      <c r="H39" s="759"/>
    </row>
    <row customHeight="1" ht="14.25">
      <c r="H40" s="759"/>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3F0F85-D119-8E7E-DF8E-60B3DBC9A0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094888-F531-C1EC-BCB1-9F528195CC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5969E9-4225-68AF-4C77-C514627179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3A0E8E-BE96-DCC6-8D15-A93971B592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3E1583-B0C2-6365-1E89-EBE71FC6D6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57F5C8-2A3F-8AF9-4FD3-3C8AF91709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A58A6C-79DB-0D34-66A4-FB24A9762F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731AEA-AAD1-2729-BD12-CB04366F032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8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396122-BEEB-5453-0028-4E13580C303A}" mc:Ignorable="x14ac xr xr2 xr3">
  <dimension ref="A1:E8"/>
  <sheetViews>
    <sheetView topLeftCell="A1" showGridLines="0" workbookViewId="0">
      <selection activeCell="A1" sqref="A1"/>
    </sheetView>
  </sheetViews>
  <sheetFormatPr customHeight="1" defaultRowHeight="11.25"/>
  <cols>
    <col min="1" max="1" style="23013" width="10.57421875" customWidth="1"/>
    <col min="2" max="2" style="23013" width="8.7109375" customWidth="1"/>
    <col min="3" max="3" style="23013" width="18.140625" customWidth="1"/>
    <col min="4" max="4" style="23013" width="12.57421875" customWidth="1"/>
  </cols>
  <sheetData>
    <row customHeight="1" ht="11.25">
      <c r="A1" s="975" t="s">
        <v>2265</v>
      </c>
      <c r="B1" s="986" t="s">
        <v>2266</v>
      </c>
      <c r="C1" s="2729" t="s">
        <v>2267</v>
      </c>
      <c r="D1" s="2730"/>
      <c r="E1" s="1058" t="s">
        <v>2268</v>
      </c>
    </row>
    <row customHeight="1" ht="11.25">
      <c r="A2" s="979"/>
      <c r="B2" s="987" t="s">
        <v>22</v>
      </c>
      <c r="C2" s="975"/>
      <c r="D2" s="986"/>
      <c r="E2" s="1058"/>
    </row>
    <row customHeight="1" ht="11.25">
      <c r="A3" s="990"/>
      <c r="B3" s="988" t="s">
        <v>29</v>
      </c>
      <c r="C3" s="975"/>
      <c r="D3" s="986"/>
      <c r="E3" s="1058"/>
    </row>
    <row customHeight="1" ht="11.25">
      <c r="A4" s="991"/>
      <c r="B4" s="988" t="s">
        <v>1685</v>
      </c>
      <c r="C4" s="975"/>
      <c r="D4" s="986"/>
      <c r="E4" s="1058"/>
    </row>
    <row customHeight="1" ht="11.25">
      <c r="A5" s="1003"/>
      <c r="B5" s="988" t="s">
        <v>1680</v>
      </c>
      <c r="C5" s="978" t="s">
        <v>2024</v>
      </c>
      <c r="D5" s="1102" t="s">
        <v>2269</v>
      </c>
      <c r="E5" s="1058"/>
    </row>
    <row s="22989" customFormat="1" customHeight="1" ht="11.25">
      <c r="A6" s="989"/>
      <c r="B6" s="988" t="s">
        <v>1689</v>
      </c>
      <c r="C6" s="975"/>
      <c r="D6" s="986"/>
      <c r="E6" s="1058"/>
    </row>
    <row customHeight="1" ht="11.25">
      <c r="A7" s="977"/>
      <c r="B7" s="988" t="s">
        <v>1696</v>
      </c>
      <c r="C7" s="975"/>
      <c r="D7" s="986"/>
      <c r="E7" s="1058"/>
    </row>
    <row customHeight="1" ht="11.25">
      <c r="A8" s="978"/>
      <c r="B8" s="988" t="s">
        <v>1692</v>
      </c>
      <c r="C8" s="975"/>
      <c r="D8" s="986"/>
      <c r="E8" s="105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9A66F1-2874-233C-3CEF-3C79A68678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B4A237-9686-F8FF-6F7D-EC740A3992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5B4DD3-FF2A-5AA3-F283-D942B2C12302}" mc:Ignorable="x14ac xr xr2 xr3">
  <sheetPr>
    <tabColor rgb="FFFFCC99"/>
  </sheetPr>
  <dimension ref="A1:I687"/>
  <sheetViews>
    <sheetView topLeftCell="A1" showGridLines="0" workbookViewId="0">
      <selection activeCell="A1" sqref="A1"/>
    </sheetView>
  </sheetViews>
  <sheetFormatPr defaultColWidth="9.140625" customHeight="1" defaultRowHeight="11.25"/>
  <cols>
    <col min="1" max="2" style="23016" width="9.140625"/>
    <col min="3" max="3" style="23016" width="20.7109375" customWidth="1"/>
    <col min="4" max="4" style="23016" width="25.140625" customWidth="1"/>
    <col min="5" max="9" style="23016" width="9.140625"/>
  </cols>
  <sheetData>
    <row customHeight="1" ht="11.25">
      <c r="A1" s="290" t="s">
        <v>2270</v>
      </c>
      <c r="B1" s="290" t="s">
        <v>2271</v>
      </c>
      <c r="C1" s="290" t="s">
        <v>2272</v>
      </c>
      <c r="D1" s="290" t="s">
        <v>2273</v>
      </c>
      <c r="E1" s="290" t="s">
        <v>2274</v>
      </c>
      <c r="F1" s="290" t="s">
        <v>2275</v>
      </c>
      <c r="G1" s="290" t="s">
        <v>2276</v>
      </c>
      <c r="H1" s="290" t="s">
        <v>2277</v>
      </c>
      <c r="I1" s="290" t="s">
        <v>2278</v>
      </c>
    </row>
    <row customHeight="1" ht="11.25">
      <c r="A2" s="8161" t="s">
        <v>2279</v>
      </c>
      <c r="B2" s="8161" t="s">
        <v>14</v>
      </c>
      <c r="C2" s="8161" t="s">
        <v>2280</v>
      </c>
      <c r="D2" s="8161" t="s">
        <v>2281</v>
      </c>
      <c r="E2" s="8161" t="s">
        <v>2282</v>
      </c>
      <c r="F2" s="8161" t="s">
        <v>2283</v>
      </c>
      <c r="G2" s="8161" t="s">
        <v>24</v>
      </c>
      <c r="H2" s="8161" t="s">
        <v>2284</v>
      </c>
      <c r="I2" s="8161" t="s">
        <v>828</v>
      </c>
    </row>
    <row customHeight="1" ht="11.25">
      <c r="A3" s="8161" t="s">
        <v>2279</v>
      </c>
      <c r="B3" s="8161" t="s">
        <v>14</v>
      </c>
      <c r="C3" s="8161" t="s">
        <v>24</v>
      </c>
      <c r="D3" s="8161" t="s">
        <v>2285</v>
      </c>
      <c r="E3" s="8161" t="s">
        <v>2286</v>
      </c>
      <c r="F3" s="8161" t="s">
        <v>2287</v>
      </c>
      <c r="G3" s="8161" t="s">
        <v>24</v>
      </c>
      <c r="H3" s="8161" t="s">
        <v>24</v>
      </c>
      <c r="I3" s="8161" t="s">
        <v>828</v>
      </c>
    </row>
    <row customHeight="1" ht="11.25">
      <c r="A4" s="8161" t="s">
        <v>2279</v>
      </c>
      <c r="B4" s="8161" t="s">
        <v>14</v>
      </c>
      <c r="C4" s="8161" t="s">
        <v>2288</v>
      </c>
      <c r="D4" s="8161" t="s">
        <v>2289</v>
      </c>
      <c r="E4" s="8161" t="s">
        <v>2290</v>
      </c>
      <c r="F4" s="8161" t="s">
        <v>2291</v>
      </c>
      <c r="G4" s="8161" t="s">
        <v>24</v>
      </c>
      <c r="H4" s="8161" t="s">
        <v>2292</v>
      </c>
      <c r="I4" s="8161" t="s">
        <v>828</v>
      </c>
    </row>
    <row customHeight="1" ht="11.25">
      <c r="A5" s="8161" t="s">
        <v>2279</v>
      </c>
      <c r="B5" s="8161" t="s">
        <v>14</v>
      </c>
      <c r="C5" s="8161" t="s">
        <v>2293</v>
      </c>
      <c r="D5" s="8161" t="s">
        <v>2294</v>
      </c>
      <c r="E5" s="8161" t="s">
        <v>2295</v>
      </c>
      <c r="F5" s="8161" t="s">
        <v>2296</v>
      </c>
      <c r="G5" s="8161" t="s">
        <v>24</v>
      </c>
      <c r="H5" s="8161" t="s">
        <v>24</v>
      </c>
      <c r="I5" s="8161" t="s">
        <v>828</v>
      </c>
    </row>
    <row customHeight="1" ht="11.25">
      <c r="A6" s="8161" t="s">
        <v>2279</v>
      </c>
      <c r="B6" s="8161" t="s">
        <v>14</v>
      </c>
      <c r="C6" s="8161" t="s">
        <v>2297</v>
      </c>
      <c r="D6" s="8161" t="s">
        <v>2298</v>
      </c>
      <c r="E6" s="8161" t="s">
        <v>2299</v>
      </c>
      <c r="F6" s="8161" t="s">
        <v>2300</v>
      </c>
      <c r="G6" s="8161" t="s">
        <v>24</v>
      </c>
      <c r="H6" s="8161" t="s">
        <v>24</v>
      </c>
      <c r="I6" s="8161" t="s">
        <v>828</v>
      </c>
    </row>
    <row customHeight="1" ht="11.25">
      <c r="A7" s="8161" t="s">
        <v>2279</v>
      </c>
      <c r="B7" s="8161" t="s">
        <v>14</v>
      </c>
      <c r="C7" s="8161" t="s">
        <v>2301</v>
      </c>
      <c r="D7" s="8161" t="s">
        <v>2302</v>
      </c>
      <c r="E7" s="8161" t="s">
        <v>2303</v>
      </c>
      <c r="F7" s="8161" t="s">
        <v>2304</v>
      </c>
      <c r="G7" s="8161" t="s">
        <v>24</v>
      </c>
      <c r="H7" s="8161" t="s">
        <v>2305</v>
      </c>
      <c r="I7" s="8161" t="s">
        <v>828</v>
      </c>
    </row>
    <row customHeight="1" ht="11.25">
      <c r="A8" s="8161" t="s">
        <v>2279</v>
      </c>
      <c r="B8" s="8161" t="s">
        <v>14</v>
      </c>
      <c r="C8" s="8161" t="s">
        <v>2306</v>
      </c>
      <c r="D8" s="8161" t="s">
        <v>2307</v>
      </c>
      <c r="E8" s="8161" t="s">
        <v>2308</v>
      </c>
      <c r="F8" s="8161" t="s">
        <v>2309</v>
      </c>
      <c r="G8" s="8161" t="s">
        <v>2310</v>
      </c>
      <c r="H8" s="8161" t="s">
        <v>2311</v>
      </c>
      <c r="I8" s="8161" t="s">
        <v>828</v>
      </c>
    </row>
    <row customHeight="1" ht="11.25">
      <c r="A9" s="8161" t="s">
        <v>2279</v>
      </c>
      <c r="B9" s="8161" t="s">
        <v>14</v>
      </c>
      <c r="C9" s="8161" t="s">
        <v>2312</v>
      </c>
      <c r="D9" s="8161" t="s">
        <v>2313</v>
      </c>
      <c r="E9" s="8161" t="s">
        <v>2314</v>
      </c>
      <c r="F9" s="8161" t="s">
        <v>2315</v>
      </c>
      <c r="G9" s="8161" t="s">
        <v>24</v>
      </c>
      <c r="H9" s="8161" t="s">
        <v>24</v>
      </c>
      <c r="I9" s="8161" t="s">
        <v>828</v>
      </c>
    </row>
    <row customHeight="1" ht="11.25">
      <c r="A10" s="8161" t="s">
        <v>2279</v>
      </c>
      <c r="B10" s="8161" t="s">
        <v>14</v>
      </c>
      <c r="C10" s="8161" t="s">
        <v>2316</v>
      </c>
      <c r="D10" s="8161" t="s">
        <v>2317</v>
      </c>
      <c r="E10" s="8161" t="s">
        <v>2318</v>
      </c>
      <c r="F10" s="8161" t="s">
        <v>2319</v>
      </c>
      <c r="G10" s="8161" t="s">
        <v>24</v>
      </c>
      <c r="H10" s="8161" t="s">
        <v>24</v>
      </c>
      <c r="I10" s="8161" t="s">
        <v>828</v>
      </c>
    </row>
    <row customHeight="1" ht="11.25">
      <c r="A11" s="8161" t="s">
        <v>2279</v>
      </c>
      <c r="B11" s="8161" t="s">
        <v>14</v>
      </c>
      <c r="C11" s="8161" t="s">
        <v>2320</v>
      </c>
      <c r="D11" s="8161" t="s">
        <v>2317</v>
      </c>
      <c r="E11" s="8161" t="s">
        <v>2318</v>
      </c>
      <c r="F11" s="8161" t="s">
        <v>2321</v>
      </c>
      <c r="G11" s="8161" t="s">
        <v>2322</v>
      </c>
      <c r="H11" s="8161" t="s">
        <v>24</v>
      </c>
      <c r="I11" s="8161" t="s">
        <v>828</v>
      </c>
    </row>
    <row customHeight="1" ht="11.25">
      <c r="A12" s="8161" t="s">
        <v>2279</v>
      </c>
      <c r="B12" s="8161" t="s">
        <v>14</v>
      </c>
      <c r="C12" s="8161" t="s">
        <v>2323</v>
      </c>
      <c r="D12" s="8161" t="s">
        <v>2324</v>
      </c>
      <c r="E12" s="8161" t="s">
        <v>2318</v>
      </c>
      <c r="F12" s="8161" t="s">
        <v>2325</v>
      </c>
      <c r="G12" s="8161" t="s">
        <v>24</v>
      </c>
      <c r="H12" s="8161" t="s">
        <v>24</v>
      </c>
      <c r="I12" s="8161" t="s">
        <v>828</v>
      </c>
    </row>
    <row customHeight="1" ht="11.25">
      <c r="A13" s="8161" t="s">
        <v>2279</v>
      </c>
      <c r="B13" s="8161" t="s">
        <v>14</v>
      </c>
      <c r="C13" s="8161" t="s">
        <v>2326</v>
      </c>
      <c r="D13" s="8161" t="s">
        <v>2327</v>
      </c>
      <c r="E13" s="8161" t="s">
        <v>2318</v>
      </c>
      <c r="F13" s="8161" t="s">
        <v>2328</v>
      </c>
      <c r="G13" s="8161" t="s">
        <v>24</v>
      </c>
      <c r="H13" s="8161" t="s">
        <v>24</v>
      </c>
      <c r="I13" s="8161" t="s">
        <v>828</v>
      </c>
    </row>
    <row customHeight="1" ht="11.25">
      <c r="A14" s="8161" t="s">
        <v>2279</v>
      </c>
      <c r="B14" s="8161" t="s">
        <v>14</v>
      </c>
      <c r="C14" s="8161" t="s">
        <v>2329</v>
      </c>
      <c r="D14" s="8161" t="s">
        <v>2330</v>
      </c>
      <c r="E14" s="8161" t="s">
        <v>2331</v>
      </c>
      <c r="F14" s="8161" t="s">
        <v>2283</v>
      </c>
      <c r="G14" s="8161" t="s">
        <v>24</v>
      </c>
      <c r="H14" s="8161" t="s">
        <v>24</v>
      </c>
      <c r="I14" s="8161" t="s">
        <v>828</v>
      </c>
    </row>
    <row customHeight="1" ht="11.25">
      <c r="A15" s="8161" t="s">
        <v>2279</v>
      </c>
      <c r="B15" s="8161" t="s">
        <v>14</v>
      </c>
      <c r="C15" s="8161" t="s">
        <v>2332</v>
      </c>
      <c r="D15" s="8161" t="s">
        <v>2333</v>
      </c>
      <c r="E15" s="8161" t="s">
        <v>2334</v>
      </c>
      <c r="F15" s="8161" t="s">
        <v>2335</v>
      </c>
      <c r="G15" s="8161" t="s">
        <v>24</v>
      </c>
      <c r="H15" s="8161" t="s">
        <v>24</v>
      </c>
      <c r="I15" s="8161" t="s">
        <v>828</v>
      </c>
    </row>
    <row customHeight="1" ht="11.25">
      <c r="A16" s="8161" t="s">
        <v>2279</v>
      </c>
      <c r="B16" s="8161" t="s">
        <v>14</v>
      </c>
      <c r="C16" s="8161" t="s">
        <v>2336</v>
      </c>
      <c r="D16" s="8161" t="s">
        <v>2337</v>
      </c>
      <c r="E16" s="8161" t="s">
        <v>2338</v>
      </c>
      <c r="F16" s="8161" t="s">
        <v>2339</v>
      </c>
      <c r="G16" s="8161" t="s">
        <v>24</v>
      </c>
      <c r="H16" s="8161" t="s">
        <v>24</v>
      </c>
      <c r="I16" s="8161" t="s">
        <v>828</v>
      </c>
    </row>
    <row customHeight="1" ht="11.25">
      <c r="A17" s="8161" t="s">
        <v>2279</v>
      </c>
      <c r="B17" s="8161" t="s">
        <v>14</v>
      </c>
      <c r="C17" s="8161" t="s">
        <v>2340</v>
      </c>
      <c r="D17" s="8161" t="s">
        <v>2341</v>
      </c>
      <c r="E17" s="8161" t="s">
        <v>2342</v>
      </c>
      <c r="F17" s="8161" t="s">
        <v>2343</v>
      </c>
      <c r="G17" s="8161" t="s">
        <v>2344</v>
      </c>
      <c r="H17" s="8161" t="s">
        <v>24</v>
      </c>
      <c r="I17" s="8161" t="s">
        <v>828</v>
      </c>
    </row>
    <row customHeight="1" ht="11.25">
      <c r="A18" s="8161" t="s">
        <v>2279</v>
      </c>
      <c r="B18" s="8161" t="s">
        <v>14</v>
      </c>
      <c r="C18" s="8161" t="s">
        <v>2345</v>
      </c>
      <c r="D18" s="8161" t="s">
        <v>2346</v>
      </c>
      <c r="E18" s="8161" t="s">
        <v>2347</v>
      </c>
      <c r="F18" s="8161" t="s">
        <v>2300</v>
      </c>
      <c r="G18" s="8161" t="s">
        <v>24</v>
      </c>
      <c r="H18" s="8161" t="s">
        <v>24</v>
      </c>
      <c r="I18" s="8161" t="s">
        <v>828</v>
      </c>
    </row>
    <row customHeight="1" ht="11.25">
      <c r="A19" s="8161" t="s">
        <v>2279</v>
      </c>
      <c r="B19" s="8161" t="s">
        <v>14</v>
      </c>
      <c r="C19" s="8161" t="s">
        <v>2348</v>
      </c>
      <c r="D19" s="8161" t="s">
        <v>2349</v>
      </c>
      <c r="E19" s="8161" t="s">
        <v>2350</v>
      </c>
      <c r="F19" s="8161" t="s">
        <v>2291</v>
      </c>
      <c r="G19" s="8161" t="s">
        <v>24</v>
      </c>
      <c r="H19" s="8161" t="s">
        <v>24</v>
      </c>
      <c r="I19" s="8161" t="s">
        <v>828</v>
      </c>
    </row>
    <row customHeight="1" ht="11.25">
      <c r="A20" s="8161" t="s">
        <v>2279</v>
      </c>
      <c r="B20" s="8161" t="s">
        <v>14</v>
      </c>
      <c r="C20" s="8161" t="s">
        <v>2351</v>
      </c>
      <c r="D20" s="8161" t="s">
        <v>2352</v>
      </c>
      <c r="E20" s="8161" t="s">
        <v>2353</v>
      </c>
      <c r="F20" s="8161" t="s">
        <v>2354</v>
      </c>
      <c r="G20" s="8161" t="s">
        <v>2355</v>
      </c>
      <c r="H20" s="8161" t="s">
        <v>24</v>
      </c>
      <c r="I20" s="8161" t="s">
        <v>828</v>
      </c>
    </row>
    <row customHeight="1" ht="11.25">
      <c r="A21" s="8161" t="s">
        <v>2279</v>
      </c>
      <c r="B21" s="8161" t="s">
        <v>14</v>
      </c>
      <c r="C21" s="8161" t="s">
        <v>2356</v>
      </c>
      <c r="D21" s="8161" t="s">
        <v>2357</v>
      </c>
      <c r="E21" s="8161" t="s">
        <v>2358</v>
      </c>
      <c r="F21" s="8161" t="s">
        <v>2359</v>
      </c>
      <c r="G21" s="8161" t="s">
        <v>2360</v>
      </c>
      <c r="H21" s="8161" t="s">
        <v>24</v>
      </c>
      <c r="I21" s="8161" t="s">
        <v>828</v>
      </c>
    </row>
    <row customHeight="1" ht="11.25">
      <c r="A22" s="8161" t="s">
        <v>2279</v>
      </c>
      <c r="B22" s="8161" t="s">
        <v>14</v>
      </c>
      <c r="C22" s="8161" t="s">
        <v>2361</v>
      </c>
      <c r="D22" s="8161" t="s">
        <v>2362</v>
      </c>
      <c r="E22" s="8161" t="s">
        <v>2363</v>
      </c>
      <c r="F22" s="8161" t="s">
        <v>2283</v>
      </c>
      <c r="G22" s="8161" t="s">
        <v>24</v>
      </c>
      <c r="H22" s="8161" t="s">
        <v>24</v>
      </c>
      <c r="I22" s="8161" t="s">
        <v>828</v>
      </c>
    </row>
    <row customHeight="1" ht="11.25">
      <c r="A23" s="8161" t="s">
        <v>2279</v>
      </c>
      <c r="B23" s="8161" t="s">
        <v>14</v>
      </c>
      <c r="C23" s="8161" t="s">
        <v>2364</v>
      </c>
      <c r="D23" s="8161" t="s">
        <v>2365</v>
      </c>
      <c r="E23" s="8161" t="s">
        <v>2366</v>
      </c>
      <c r="F23" s="8161" t="s">
        <v>2367</v>
      </c>
      <c r="G23" s="8161" t="s">
        <v>24</v>
      </c>
      <c r="H23" s="8161" t="s">
        <v>24</v>
      </c>
      <c r="I23" s="8161" t="s">
        <v>828</v>
      </c>
    </row>
    <row customHeight="1" ht="11.25">
      <c r="A24" s="8161" t="s">
        <v>2279</v>
      </c>
      <c r="B24" s="8161" t="s">
        <v>14</v>
      </c>
      <c r="C24" s="8161" t="s">
        <v>2368</v>
      </c>
      <c r="D24" s="8161" t="s">
        <v>2369</v>
      </c>
      <c r="E24" s="8161" t="s">
        <v>2370</v>
      </c>
      <c r="F24" s="8161" t="s">
        <v>2339</v>
      </c>
      <c r="G24" s="8161" t="s">
        <v>2371</v>
      </c>
      <c r="H24" s="8161" t="s">
        <v>24</v>
      </c>
      <c r="I24" s="8161" t="s">
        <v>828</v>
      </c>
    </row>
    <row customHeight="1" ht="11.25">
      <c r="A25" s="8161" t="s">
        <v>2279</v>
      </c>
      <c r="B25" s="8161" t="s">
        <v>14</v>
      </c>
      <c r="C25" s="8161" t="s">
        <v>2372</v>
      </c>
      <c r="D25" s="8161" t="s">
        <v>2373</v>
      </c>
      <c r="E25" s="8161" t="s">
        <v>2374</v>
      </c>
      <c r="F25" s="8161" t="s">
        <v>2375</v>
      </c>
      <c r="G25" s="8161" t="s">
        <v>24</v>
      </c>
      <c r="H25" s="8161" t="s">
        <v>24</v>
      </c>
      <c r="I25" s="8161" t="s">
        <v>828</v>
      </c>
    </row>
    <row customHeight="1" ht="11.25">
      <c r="A26" s="8161" t="s">
        <v>2279</v>
      </c>
      <c r="B26" s="8161" t="s">
        <v>14</v>
      </c>
      <c r="C26" s="8161" t="s">
        <v>2376</v>
      </c>
      <c r="D26" s="8161" t="s">
        <v>2377</v>
      </c>
      <c r="E26" s="8161" t="s">
        <v>2378</v>
      </c>
      <c r="F26" s="8161" t="s">
        <v>2287</v>
      </c>
      <c r="G26" s="8161" t="s">
        <v>2379</v>
      </c>
      <c r="H26" s="8161" t="s">
        <v>24</v>
      </c>
      <c r="I26" s="8161" t="s">
        <v>828</v>
      </c>
    </row>
    <row customHeight="1" ht="11.25">
      <c r="A27" s="8161" t="s">
        <v>2279</v>
      </c>
      <c r="B27" s="8161" t="s">
        <v>14</v>
      </c>
      <c r="C27" s="8161" t="s">
        <v>2380</v>
      </c>
      <c r="D27" s="8161" t="s">
        <v>2381</v>
      </c>
      <c r="E27" s="8161" t="s">
        <v>2382</v>
      </c>
      <c r="F27" s="8161" t="s">
        <v>2383</v>
      </c>
      <c r="G27" s="8161" t="s">
        <v>24</v>
      </c>
      <c r="H27" s="8161" t="s">
        <v>24</v>
      </c>
      <c r="I27" s="8161" t="s">
        <v>828</v>
      </c>
    </row>
    <row customHeight="1" ht="11.25">
      <c r="A28" s="8161" t="s">
        <v>2279</v>
      </c>
      <c r="B28" s="8161" t="s">
        <v>14</v>
      </c>
      <c r="C28" s="8161" t="s">
        <v>2384</v>
      </c>
      <c r="D28" s="8161" t="s">
        <v>2385</v>
      </c>
      <c r="E28" s="8161" t="s">
        <v>2386</v>
      </c>
      <c r="F28" s="8161" t="s">
        <v>2339</v>
      </c>
      <c r="G28" s="8161" t="s">
        <v>24</v>
      </c>
      <c r="H28" s="8161" t="s">
        <v>24</v>
      </c>
      <c r="I28" s="8161" t="s">
        <v>828</v>
      </c>
    </row>
    <row customHeight="1" ht="11.25">
      <c r="A29" s="8161" t="s">
        <v>2279</v>
      </c>
      <c r="B29" s="8161" t="s">
        <v>14</v>
      </c>
      <c r="C29" s="8161" t="s">
        <v>2387</v>
      </c>
      <c r="D29" s="8161" t="s">
        <v>2388</v>
      </c>
      <c r="E29" s="8161" t="s">
        <v>2389</v>
      </c>
      <c r="F29" s="8161" t="s">
        <v>2287</v>
      </c>
      <c r="G29" s="8161" t="s">
        <v>24</v>
      </c>
      <c r="H29" s="8161" t="s">
        <v>24</v>
      </c>
      <c r="I29" s="8161" t="s">
        <v>828</v>
      </c>
    </row>
    <row customHeight="1" ht="11.25">
      <c r="A30" s="8161" t="s">
        <v>2279</v>
      </c>
      <c r="B30" s="8161" t="s">
        <v>14</v>
      </c>
      <c r="C30" s="8161" t="s">
        <v>2390</v>
      </c>
      <c r="D30" s="8161" t="s">
        <v>2391</v>
      </c>
      <c r="E30" s="8161" t="s">
        <v>2392</v>
      </c>
      <c r="F30" s="8161" t="s">
        <v>2393</v>
      </c>
      <c r="G30" s="8161" t="s">
        <v>24</v>
      </c>
      <c r="H30" s="8161" t="s">
        <v>24</v>
      </c>
      <c r="I30" s="8161" t="s">
        <v>828</v>
      </c>
    </row>
    <row customHeight="1" ht="11.25">
      <c r="A31" s="8161" t="s">
        <v>2279</v>
      </c>
      <c r="B31" s="8161" t="s">
        <v>14</v>
      </c>
      <c r="C31" s="8161" t="s">
        <v>2394</v>
      </c>
      <c r="D31" s="8161" t="s">
        <v>2395</v>
      </c>
      <c r="E31" s="8161" t="s">
        <v>2396</v>
      </c>
      <c r="F31" s="8161" t="s">
        <v>2397</v>
      </c>
      <c r="G31" s="8161" t="s">
        <v>24</v>
      </c>
      <c r="H31" s="8161" t="s">
        <v>24</v>
      </c>
      <c r="I31" s="8161" t="s">
        <v>828</v>
      </c>
    </row>
    <row customHeight="1" ht="11.25">
      <c r="A32" s="8161" t="s">
        <v>2279</v>
      </c>
      <c r="B32" s="8161" t="s">
        <v>14</v>
      </c>
      <c r="C32" s="8161" t="s">
        <v>2398</v>
      </c>
      <c r="D32" s="8161" t="s">
        <v>2399</v>
      </c>
      <c r="E32" s="8161" t="s">
        <v>2396</v>
      </c>
      <c r="F32" s="8161" t="s">
        <v>2400</v>
      </c>
      <c r="G32" s="8161" t="s">
        <v>24</v>
      </c>
      <c r="H32" s="8161" t="s">
        <v>24</v>
      </c>
      <c r="I32" s="8161" t="s">
        <v>828</v>
      </c>
    </row>
    <row customHeight="1" ht="11.25">
      <c r="A33" s="8161" t="s">
        <v>2279</v>
      </c>
      <c r="B33" s="8161" t="s">
        <v>14</v>
      </c>
      <c r="C33" s="8161" t="s">
        <v>2401</v>
      </c>
      <c r="D33" s="8161" t="s">
        <v>2402</v>
      </c>
      <c r="E33" s="8161" t="s">
        <v>2403</v>
      </c>
      <c r="F33" s="8161" t="s">
        <v>2404</v>
      </c>
      <c r="G33" s="8161" t="s">
        <v>24</v>
      </c>
      <c r="H33" s="8161" t="s">
        <v>24</v>
      </c>
      <c r="I33" s="8161" t="s">
        <v>828</v>
      </c>
    </row>
    <row customHeight="1" ht="11.25">
      <c r="A34" s="8161" t="s">
        <v>2279</v>
      </c>
      <c r="B34" s="8161" t="s">
        <v>14</v>
      </c>
      <c r="C34" s="8161" t="s">
        <v>2405</v>
      </c>
      <c r="D34" s="8161" t="s">
        <v>2406</v>
      </c>
      <c r="E34" s="8161" t="s">
        <v>2407</v>
      </c>
      <c r="F34" s="8161" t="s">
        <v>2367</v>
      </c>
      <c r="G34" s="8161" t="s">
        <v>2408</v>
      </c>
      <c r="H34" s="8161" t="s">
        <v>24</v>
      </c>
      <c r="I34" s="8161" t="s">
        <v>828</v>
      </c>
    </row>
    <row customHeight="1" ht="11.25">
      <c r="A35" s="8161" t="s">
        <v>2279</v>
      </c>
      <c r="B35" s="8161" t="s">
        <v>14</v>
      </c>
      <c r="C35" s="8161" t="s">
        <v>2409</v>
      </c>
      <c r="D35" s="8161" t="s">
        <v>2410</v>
      </c>
      <c r="E35" s="8161" t="s">
        <v>2411</v>
      </c>
      <c r="F35" s="8161" t="s">
        <v>2291</v>
      </c>
      <c r="G35" s="8161" t="s">
        <v>24</v>
      </c>
      <c r="H35" s="8161" t="s">
        <v>24</v>
      </c>
      <c r="I35" s="8161" t="s">
        <v>828</v>
      </c>
    </row>
    <row customHeight="1" ht="11.25">
      <c r="A36" s="8161" t="s">
        <v>2279</v>
      </c>
      <c r="B36" s="8161" t="s">
        <v>14</v>
      </c>
      <c r="C36" s="8161" t="s">
        <v>2412</v>
      </c>
      <c r="D36" s="8161" t="s">
        <v>2413</v>
      </c>
      <c r="E36" s="8161" t="s">
        <v>2414</v>
      </c>
      <c r="F36" s="8161" t="s">
        <v>2339</v>
      </c>
      <c r="G36" s="8161" t="s">
        <v>24</v>
      </c>
      <c r="H36" s="8161" t="s">
        <v>24</v>
      </c>
      <c r="I36" s="8161" t="s">
        <v>828</v>
      </c>
    </row>
    <row customHeight="1" ht="11.25">
      <c r="A37" s="8161" t="s">
        <v>2279</v>
      </c>
      <c r="B37" s="8161" t="s">
        <v>14</v>
      </c>
      <c r="C37" s="8161" t="s">
        <v>2415</v>
      </c>
      <c r="D37" s="8161" t="s">
        <v>2416</v>
      </c>
      <c r="E37" s="8161" t="s">
        <v>2417</v>
      </c>
      <c r="F37" s="8161" t="s">
        <v>2418</v>
      </c>
      <c r="G37" s="8161" t="s">
        <v>24</v>
      </c>
      <c r="H37" s="8161" t="s">
        <v>2419</v>
      </c>
      <c r="I37" s="8161" t="s">
        <v>828</v>
      </c>
    </row>
    <row customHeight="1" ht="11.25">
      <c r="A38" s="8161" t="s">
        <v>2279</v>
      </c>
      <c r="B38" s="8161" t="s">
        <v>14</v>
      </c>
      <c r="C38" s="8161" t="s">
        <v>2420</v>
      </c>
      <c r="D38" s="8161" t="s">
        <v>2421</v>
      </c>
      <c r="E38" s="8161" t="s">
        <v>2422</v>
      </c>
      <c r="F38" s="8161" t="s">
        <v>681</v>
      </c>
      <c r="G38" s="8161" t="s">
        <v>2423</v>
      </c>
      <c r="H38" s="8161" t="s">
        <v>24</v>
      </c>
      <c r="I38" s="8161" t="s">
        <v>828</v>
      </c>
    </row>
    <row customHeight="1" ht="11.25">
      <c r="A39" s="8161" t="s">
        <v>2279</v>
      </c>
      <c r="B39" s="8161" t="s">
        <v>14</v>
      </c>
      <c r="C39" s="8161" t="s">
        <v>2424</v>
      </c>
      <c r="D39" s="8161" t="s">
        <v>2425</v>
      </c>
      <c r="E39" s="8161" t="s">
        <v>2426</v>
      </c>
      <c r="F39" s="8161" t="s">
        <v>2339</v>
      </c>
      <c r="G39" s="8161" t="s">
        <v>24</v>
      </c>
      <c r="H39" s="8161" t="s">
        <v>24</v>
      </c>
      <c r="I39" s="8161" t="s">
        <v>828</v>
      </c>
    </row>
    <row customHeight="1" ht="11.25">
      <c r="A40" s="8161" t="s">
        <v>2279</v>
      </c>
      <c r="B40" s="8161" t="s">
        <v>14</v>
      </c>
      <c r="C40" s="8161" t="s">
        <v>2427</v>
      </c>
      <c r="D40" s="8161" t="s">
        <v>2428</v>
      </c>
      <c r="E40" s="8161" t="s">
        <v>2429</v>
      </c>
      <c r="F40" s="8161" t="s">
        <v>2430</v>
      </c>
      <c r="G40" s="8161" t="s">
        <v>2431</v>
      </c>
      <c r="H40" s="8161" t="s">
        <v>24</v>
      </c>
      <c r="I40" s="8161" t="s">
        <v>828</v>
      </c>
    </row>
    <row customHeight="1" ht="11.25">
      <c r="A41" s="8161" t="s">
        <v>2279</v>
      </c>
      <c r="B41" s="8161" t="s">
        <v>14</v>
      </c>
      <c r="C41" s="8161" t="s">
        <v>2432</v>
      </c>
      <c r="D41" s="8161" t="s">
        <v>2433</v>
      </c>
      <c r="E41" s="8161" t="s">
        <v>2434</v>
      </c>
      <c r="F41" s="8161" t="s">
        <v>2404</v>
      </c>
      <c r="G41" s="8161" t="s">
        <v>24</v>
      </c>
      <c r="H41" s="8161" t="s">
        <v>24</v>
      </c>
      <c r="I41" s="8161" t="s">
        <v>828</v>
      </c>
    </row>
    <row customHeight="1" ht="11.25">
      <c r="A42" s="8161" t="s">
        <v>2279</v>
      </c>
      <c r="B42" s="8161" t="s">
        <v>14</v>
      </c>
      <c r="C42" s="8161" t="s">
        <v>2435</v>
      </c>
      <c r="D42" s="8161" t="s">
        <v>2436</v>
      </c>
      <c r="E42" s="8161" t="s">
        <v>2437</v>
      </c>
      <c r="F42" s="8161" t="s">
        <v>2438</v>
      </c>
      <c r="G42" s="8161" t="s">
        <v>24</v>
      </c>
      <c r="H42" s="8161" t="s">
        <v>24</v>
      </c>
      <c r="I42" s="8161" t="s">
        <v>828</v>
      </c>
    </row>
    <row customHeight="1" ht="11.25">
      <c r="A43" s="8161" t="s">
        <v>2279</v>
      </c>
      <c r="B43" s="8161" t="s">
        <v>14</v>
      </c>
      <c r="C43" s="8161" t="s">
        <v>2439</v>
      </c>
      <c r="D43" s="8161" t="s">
        <v>2440</v>
      </c>
      <c r="E43" s="8161" t="s">
        <v>2441</v>
      </c>
      <c r="F43" s="8161" t="s">
        <v>2404</v>
      </c>
      <c r="G43" s="8161" t="s">
        <v>24</v>
      </c>
      <c r="H43" s="8161" t="s">
        <v>24</v>
      </c>
      <c r="I43" s="8161" t="s">
        <v>828</v>
      </c>
    </row>
    <row customHeight="1" ht="11.25">
      <c r="A44" s="8161" t="s">
        <v>2279</v>
      </c>
      <c r="B44" s="8161" t="s">
        <v>14</v>
      </c>
      <c r="C44" s="8161" t="s">
        <v>2442</v>
      </c>
      <c r="D44" s="8161" t="s">
        <v>2443</v>
      </c>
      <c r="E44" s="8161" t="s">
        <v>2444</v>
      </c>
      <c r="F44" s="8161" t="s">
        <v>2339</v>
      </c>
      <c r="G44" s="8161" t="s">
        <v>24</v>
      </c>
      <c r="H44" s="8161" t="s">
        <v>24</v>
      </c>
      <c r="I44" s="8161" t="s">
        <v>828</v>
      </c>
    </row>
    <row customHeight="1" ht="11.25">
      <c r="A45" s="8161" t="s">
        <v>2279</v>
      </c>
      <c r="B45" s="8161" t="s">
        <v>14</v>
      </c>
      <c r="C45" s="8161" t="s">
        <v>2445</v>
      </c>
      <c r="D45" s="8161" t="s">
        <v>2446</v>
      </c>
      <c r="E45" s="8161" t="s">
        <v>2447</v>
      </c>
      <c r="F45" s="8161" t="s">
        <v>2448</v>
      </c>
      <c r="G45" s="8161" t="s">
        <v>24</v>
      </c>
      <c r="H45" s="8161" t="s">
        <v>2449</v>
      </c>
      <c r="I45" s="8161" t="s">
        <v>828</v>
      </c>
    </row>
    <row customHeight="1" ht="11.25">
      <c r="A46" s="8161" t="s">
        <v>2279</v>
      </c>
      <c r="B46" s="8161" t="s">
        <v>14</v>
      </c>
      <c r="C46" s="8161" t="s">
        <v>2450</v>
      </c>
      <c r="D46" s="8161" t="s">
        <v>2451</v>
      </c>
      <c r="E46" s="8161" t="s">
        <v>2452</v>
      </c>
      <c r="F46" s="8161" t="s">
        <v>48</v>
      </c>
      <c r="G46" s="8161" t="s">
        <v>24</v>
      </c>
      <c r="H46" s="8161" t="s">
        <v>24</v>
      </c>
      <c r="I46" s="8161" t="s">
        <v>828</v>
      </c>
    </row>
    <row customHeight="1" ht="11.25">
      <c r="A47" s="8161" t="s">
        <v>2279</v>
      </c>
      <c r="B47" s="8161" t="s">
        <v>14</v>
      </c>
      <c r="C47" s="8161" t="s">
        <v>2453</v>
      </c>
      <c r="D47" s="8161" t="s">
        <v>43</v>
      </c>
      <c r="E47" s="8161" t="s">
        <v>46</v>
      </c>
      <c r="F47" s="8161" t="s">
        <v>48</v>
      </c>
      <c r="G47" s="8161" t="s">
        <v>24</v>
      </c>
      <c r="H47" s="8161" t="s">
        <v>24</v>
      </c>
      <c r="I47" s="8161" t="s">
        <v>828</v>
      </c>
    </row>
    <row customHeight="1" ht="11.25">
      <c r="A48" s="8161" t="s">
        <v>2279</v>
      </c>
      <c r="B48" s="8161" t="s">
        <v>14</v>
      </c>
      <c r="C48" s="8161" t="s">
        <v>2454</v>
      </c>
      <c r="D48" s="8161" t="s">
        <v>2455</v>
      </c>
      <c r="E48" s="8161" t="s">
        <v>46</v>
      </c>
      <c r="F48" s="8161" t="s">
        <v>2456</v>
      </c>
      <c r="G48" s="8161" t="s">
        <v>24</v>
      </c>
      <c r="H48" s="8161" t="s">
        <v>2457</v>
      </c>
      <c r="I48" s="8161" t="s">
        <v>828</v>
      </c>
    </row>
    <row customHeight="1" ht="11.25">
      <c r="A49" s="8161" t="s">
        <v>2279</v>
      </c>
      <c r="B49" s="8161" t="s">
        <v>14</v>
      </c>
      <c r="C49" s="8161" t="s">
        <v>2458</v>
      </c>
      <c r="D49" s="8161" t="s">
        <v>2455</v>
      </c>
      <c r="E49" s="8161" t="s">
        <v>46</v>
      </c>
      <c r="F49" s="8161" t="s">
        <v>2459</v>
      </c>
      <c r="G49" s="8161" t="s">
        <v>24</v>
      </c>
      <c r="H49" s="8161" t="s">
        <v>2460</v>
      </c>
      <c r="I49" s="8161" t="s">
        <v>828</v>
      </c>
    </row>
    <row customHeight="1" ht="11.25">
      <c r="A50" s="8161" t="s">
        <v>2279</v>
      </c>
      <c r="B50" s="8161" t="s">
        <v>14</v>
      </c>
      <c r="C50" s="8161" t="s">
        <v>2461</v>
      </c>
      <c r="D50" s="8161" t="s">
        <v>2462</v>
      </c>
      <c r="E50" s="8161" t="s">
        <v>2463</v>
      </c>
      <c r="F50" s="8161" t="s">
        <v>2300</v>
      </c>
      <c r="G50" s="8161" t="s">
        <v>2464</v>
      </c>
      <c r="H50" s="8161" t="s">
        <v>24</v>
      </c>
      <c r="I50" s="8161" t="s">
        <v>828</v>
      </c>
    </row>
    <row customHeight="1" ht="11.25">
      <c r="A51" s="8161" t="s">
        <v>2279</v>
      </c>
      <c r="B51" s="8161" t="s">
        <v>14</v>
      </c>
      <c r="C51" s="8161" t="s">
        <v>2465</v>
      </c>
      <c r="D51" s="8161" t="s">
        <v>2466</v>
      </c>
      <c r="E51" s="8161" t="s">
        <v>2467</v>
      </c>
      <c r="F51" s="8161" t="s">
        <v>2468</v>
      </c>
      <c r="G51" s="8161" t="s">
        <v>2469</v>
      </c>
      <c r="H51" s="8161" t="s">
        <v>2464</v>
      </c>
      <c r="I51" s="8161" t="s">
        <v>828</v>
      </c>
    </row>
    <row customHeight="1" ht="11.25">
      <c r="A52" s="8161" t="s">
        <v>2279</v>
      </c>
      <c r="B52" s="8161" t="s">
        <v>14</v>
      </c>
      <c r="C52" s="8161" t="s">
        <v>2470</v>
      </c>
      <c r="D52" s="8161" t="s">
        <v>2471</v>
      </c>
      <c r="E52" s="8161" t="s">
        <v>2472</v>
      </c>
      <c r="F52" s="8161" t="s">
        <v>2473</v>
      </c>
      <c r="G52" s="8161" t="s">
        <v>24</v>
      </c>
      <c r="H52" s="8161" t="s">
        <v>24</v>
      </c>
      <c r="I52" s="8161" t="s">
        <v>828</v>
      </c>
    </row>
    <row customHeight="1" ht="11.25">
      <c r="A53" s="8161" t="s">
        <v>2279</v>
      </c>
      <c r="B53" s="8161" t="s">
        <v>14</v>
      </c>
      <c r="C53" s="8161" t="s">
        <v>2474</v>
      </c>
      <c r="D53" s="8161" t="s">
        <v>2475</v>
      </c>
      <c r="E53" s="8161" t="s">
        <v>2476</v>
      </c>
      <c r="F53" s="8161" t="s">
        <v>2283</v>
      </c>
      <c r="G53" s="8161" t="s">
        <v>24</v>
      </c>
      <c r="H53" s="8161" t="s">
        <v>24</v>
      </c>
      <c r="I53" s="8161" t="s">
        <v>828</v>
      </c>
    </row>
    <row customHeight="1" ht="11.25">
      <c r="A54" s="8161" t="s">
        <v>2279</v>
      </c>
      <c r="B54" s="8161" t="s">
        <v>14</v>
      </c>
      <c r="C54" s="8161" t="s">
        <v>2477</v>
      </c>
      <c r="D54" s="8161" t="s">
        <v>2478</v>
      </c>
      <c r="E54" s="8161" t="s">
        <v>2479</v>
      </c>
      <c r="F54" s="8161" t="s">
        <v>2480</v>
      </c>
      <c r="G54" s="8161" t="s">
        <v>24</v>
      </c>
      <c r="H54" s="8161" t="s">
        <v>24</v>
      </c>
      <c r="I54" s="8161" t="s">
        <v>828</v>
      </c>
    </row>
    <row customHeight="1" ht="11.25">
      <c r="A55" s="8161" t="s">
        <v>2279</v>
      </c>
      <c r="B55" s="8161" t="s">
        <v>14</v>
      </c>
      <c r="C55" s="8161" t="s">
        <v>2481</v>
      </c>
      <c r="D55" s="8161" t="s">
        <v>2482</v>
      </c>
      <c r="E55" s="8161" t="s">
        <v>2483</v>
      </c>
      <c r="F55" s="8161" t="s">
        <v>2484</v>
      </c>
      <c r="G55" s="8161" t="s">
        <v>24</v>
      </c>
      <c r="H55" s="8161" t="s">
        <v>2485</v>
      </c>
      <c r="I55" s="8161" t="s">
        <v>828</v>
      </c>
    </row>
    <row customHeight="1" ht="11.25">
      <c r="A56" s="8161" t="s">
        <v>2279</v>
      </c>
      <c r="B56" s="8161" t="s">
        <v>14</v>
      </c>
      <c r="C56" s="8161" t="s">
        <v>2486</v>
      </c>
      <c r="D56" s="8161" t="s">
        <v>2482</v>
      </c>
      <c r="E56" s="8161" t="s">
        <v>2483</v>
      </c>
      <c r="F56" s="8161" t="s">
        <v>2484</v>
      </c>
      <c r="G56" s="8161" t="s">
        <v>24</v>
      </c>
      <c r="H56" s="8161" t="s">
        <v>24</v>
      </c>
      <c r="I56" s="8161" t="s">
        <v>828</v>
      </c>
    </row>
    <row customHeight="1" ht="11.25">
      <c r="A57" s="8161" t="s">
        <v>2279</v>
      </c>
      <c r="B57" s="8161" t="s">
        <v>14</v>
      </c>
      <c r="C57" s="8161" t="s">
        <v>2487</v>
      </c>
      <c r="D57" s="8161" t="s">
        <v>2488</v>
      </c>
      <c r="E57" s="8161" t="s">
        <v>2489</v>
      </c>
      <c r="F57" s="8161" t="s">
        <v>2484</v>
      </c>
      <c r="G57" s="8161" t="s">
        <v>24</v>
      </c>
      <c r="H57" s="8161" t="s">
        <v>24</v>
      </c>
      <c r="I57" s="8161" t="s">
        <v>828</v>
      </c>
    </row>
    <row customHeight="1" ht="11.25">
      <c r="A58" s="8161" t="s">
        <v>2279</v>
      </c>
      <c r="B58" s="8161" t="s">
        <v>14</v>
      </c>
      <c r="C58" s="8161" t="s">
        <v>2490</v>
      </c>
      <c r="D58" s="8161" t="s">
        <v>2491</v>
      </c>
      <c r="E58" s="8161" t="s">
        <v>2492</v>
      </c>
      <c r="F58" s="8161" t="s">
        <v>2493</v>
      </c>
      <c r="G58" s="8161" t="s">
        <v>24</v>
      </c>
      <c r="H58" s="8161" t="s">
        <v>24</v>
      </c>
      <c r="I58" s="8161" t="s">
        <v>828</v>
      </c>
    </row>
    <row customHeight="1" ht="11.25">
      <c r="A59" s="8161" t="s">
        <v>2279</v>
      </c>
      <c r="B59" s="8161" t="s">
        <v>14</v>
      </c>
      <c r="C59" s="8161" t="s">
        <v>2494</v>
      </c>
      <c r="D59" s="8161" t="s">
        <v>2495</v>
      </c>
      <c r="E59" s="8161" t="s">
        <v>2496</v>
      </c>
      <c r="F59" s="8161" t="s">
        <v>2339</v>
      </c>
      <c r="G59" s="8161" t="s">
        <v>24</v>
      </c>
      <c r="H59" s="8161" t="s">
        <v>24</v>
      </c>
      <c r="I59" s="8161" t="s">
        <v>828</v>
      </c>
    </row>
    <row customHeight="1" ht="11.25">
      <c r="A60" s="8161" t="s">
        <v>2279</v>
      </c>
      <c r="B60" s="8161" t="s">
        <v>14</v>
      </c>
      <c r="C60" s="8161" t="s">
        <v>2497</v>
      </c>
      <c r="D60" s="8161" t="s">
        <v>2498</v>
      </c>
      <c r="E60" s="8161" t="s">
        <v>2499</v>
      </c>
      <c r="F60" s="8161" t="s">
        <v>2480</v>
      </c>
      <c r="G60" s="8161" t="s">
        <v>24</v>
      </c>
      <c r="H60" s="8161" t="s">
        <v>24</v>
      </c>
      <c r="I60" s="8161" t="s">
        <v>828</v>
      </c>
    </row>
    <row customHeight="1" ht="11.25">
      <c r="A61" s="8161" t="s">
        <v>2279</v>
      </c>
      <c r="B61" s="8161" t="s">
        <v>14</v>
      </c>
      <c r="C61" s="8161" t="s">
        <v>2500</v>
      </c>
      <c r="D61" s="8161" t="s">
        <v>2501</v>
      </c>
      <c r="E61" s="8161" t="s">
        <v>2502</v>
      </c>
      <c r="F61" s="8161" t="s">
        <v>2418</v>
      </c>
      <c r="G61" s="8161" t="s">
        <v>24</v>
      </c>
      <c r="H61" s="8161" t="s">
        <v>24</v>
      </c>
      <c r="I61" s="8161" t="s">
        <v>828</v>
      </c>
    </row>
    <row customHeight="1" ht="11.25">
      <c r="A62" s="8161" t="s">
        <v>2279</v>
      </c>
      <c r="B62" s="8161" t="s">
        <v>14</v>
      </c>
      <c r="C62" s="8161" t="s">
        <v>2503</v>
      </c>
      <c r="D62" s="8161" t="s">
        <v>2504</v>
      </c>
      <c r="E62" s="8161" t="s">
        <v>2505</v>
      </c>
      <c r="F62" s="8161" t="s">
        <v>48</v>
      </c>
      <c r="G62" s="8161" t="s">
        <v>24</v>
      </c>
      <c r="H62" s="8161" t="s">
        <v>24</v>
      </c>
      <c r="I62" s="8161" t="s">
        <v>828</v>
      </c>
    </row>
    <row customHeight="1" ht="11.25">
      <c r="A63" s="8161" t="s">
        <v>2279</v>
      </c>
      <c r="B63" s="8161" t="s">
        <v>14</v>
      </c>
      <c r="C63" s="8161" t="s">
        <v>2506</v>
      </c>
      <c r="D63" s="8161" t="s">
        <v>2507</v>
      </c>
      <c r="E63" s="8161" t="s">
        <v>2508</v>
      </c>
      <c r="F63" s="8161" t="s">
        <v>2509</v>
      </c>
      <c r="G63" s="8161" t="s">
        <v>24</v>
      </c>
      <c r="H63" s="8161" t="s">
        <v>24</v>
      </c>
      <c r="I63" s="8161" t="s">
        <v>828</v>
      </c>
    </row>
    <row customHeight="1" ht="11.25">
      <c r="A64" s="8161" t="s">
        <v>2279</v>
      </c>
      <c r="B64" s="8161" t="s">
        <v>14</v>
      </c>
      <c r="C64" s="8161" t="s">
        <v>2510</v>
      </c>
      <c r="D64" s="8161" t="s">
        <v>2511</v>
      </c>
      <c r="E64" s="8161" t="s">
        <v>2512</v>
      </c>
      <c r="F64" s="8161" t="s">
        <v>2291</v>
      </c>
      <c r="G64" s="8161" t="s">
        <v>24</v>
      </c>
      <c r="H64" s="8161" t="s">
        <v>24</v>
      </c>
      <c r="I64" s="8161" t="s">
        <v>828</v>
      </c>
    </row>
    <row customHeight="1" ht="11.25">
      <c r="A65" s="8161" t="s">
        <v>2279</v>
      </c>
      <c r="B65" s="8161" t="s">
        <v>14</v>
      </c>
      <c r="C65" s="8161" t="s">
        <v>2513</v>
      </c>
      <c r="D65" s="8161" t="s">
        <v>2514</v>
      </c>
      <c r="E65" s="8161" t="s">
        <v>2515</v>
      </c>
      <c r="F65" s="8161" t="s">
        <v>2516</v>
      </c>
      <c r="G65" s="8161" t="s">
        <v>24</v>
      </c>
      <c r="H65" s="8161" t="s">
        <v>24</v>
      </c>
      <c r="I65" s="8161" t="s">
        <v>828</v>
      </c>
    </row>
    <row customHeight="1" ht="11.25">
      <c r="A66" s="8161" t="s">
        <v>2279</v>
      </c>
      <c r="B66" s="8161" t="s">
        <v>14</v>
      </c>
      <c r="C66" s="8161" t="s">
        <v>2517</v>
      </c>
      <c r="D66" s="8161" t="s">
        <v>2518</v>
      </c>
      <c r="E66" s="8161" t="s">
        <v>2318</v>
      </c>
      <c r="F66" s="8161" t="s">
        <v>2519</v>
      </c>
      <c r="G66" s="8161" t="s">
        <v>24</v>
      </c>
      <c r="H66" s="8161" t="s">
        <v>24</v>
      </c>
      <c r="I66" s="8161" t="s">
        <v>828</v>
      </c>
    </row>
    <row customHeight="1" ht="11.25">
      <c r="A67" s="8161" t="s">
        <v>2279</v>
      </c>
      <c r="B67" s="8161" t="s">
        <v>14</v>
      </c>
      <c r="C67" s="8161" t="s">
        <v>2520</v>
      </c>
      <c r="D67" s="8161" t="s">
        <v>2521</v>
      </c>
      <c r="E67" s="8161" t="s">
        <v>2522</v>
      </c>
      <c r="F67" s="8161" t="s">
        <v>2315</v>
      </c>
      <c r="G67" s="8161" t="s">
        <v>24</v>
      </c>
      <c r="H67" s="8161" t="s">
        <v>2311</v>
      </c>
      <c r="I67" s="8161" t="s">
        <v>828</v>
      </c>
    </row>
    <row customHeight="1" ht="11.25">
      <c r="A68" s="8161" t="s">
        <v>2279</v>
      </c>
      <c r="B68" s="8161" t="s">
        <v>14</v>
      </c>
      <c r="C68" s="8161" t="s">
        <v>2523</v>
      </c>
      <c r="D68" s="8161" t="s">
        <v>2524</v>
      </c>
      <c r="E68" s="8161" t="s">
        <v>2525</v>
      </c>
      <c r="F68" s="8161" t="s">
        <v>2448</v>
      </c>
      <c r="G68" s="8161" t="s">
        <v>24</v>
      </c>
      <c r="H68" s="8161" t="s">
        <v>24</v>
      </c>
      <c r="I68" s="8161" t="s">
        <v>828</v>
      </c>
    </row>
    <row customHeight="1" ht="11.25">
      <c r="A69" s="8161" t="s">
        <v>2279</v>
      </c>
      <c r="B69" s="8161" t="s">
        <v>14</v>
      </c>
      <c r="C69" s="8161" t="s">
        <v>2526</v>
      </c>
      <c r="D69" s="8161" t="s">
        <v>2527</v>
      </c>
      <c r="E69" s="8161" t="s">
        <v>2528</v>
      </c>
      <c r="F69" s="8161" t="s">
        <v>2448</v>
      </c>
      <c r="G69" s="8161" t="s">
        <v>24</v>
      </c>
      <c r="H69" s="8161" t="s">
        <v>24</v>
      </c>
      <c r="I69" s="8161" t="s">
        <v>828</v>
      </c>
    </row>
    <row customHeight="1" ht="11.25">
      <c r="A70" s="8161" t="s">
        <v>2279</v>
      </c>
      <c r="B70" s="8161" t="s">
        <v>14</v>
      </c>
      <c r="C70" s="8161" t="s">
        <v>2529</v>
      </c>
      <c r="D70" s="8161" t="s">
        <v>2530</v>
      </c>
      <c r="E70" s="8161" t="s">
        <v>2531</v>
      </c>
      <c r="F70" s="8161" t="s">
        <v>2484</v>
      </c>
      <c r="G70" s="8161" t="s">
        <v>24</v>
      </c>
      <c r="H70" s="8161" t="s">
        <v>24</v>
      </c>
      <c r="I70" s="8161" t="s">
        <v>828</v>
      </c>
    </row>
    <row customHeight="1" ht="11.25">
      <c r="A71" s="8161" t="s">
        <v>2279</v>
      </c>
      <c r="B71" s="8161" t="s">
        <v>14</v>
      </c>
      <c r="C71" s="8161" t="s">
        <v>2532</v>
      </c>
      <c r="D71" s="8161" t="s">
        <v>2533</v>
      </c>
      <c r="E71" s="8161" t="s">
        <v>2534</v>
      </c>
      <c r="F71" s="8161" t="s">
        <v>2339</v>
      </c>
      <c r="G71" s="8161" t="s">
        <v>24</v>
      </c>
      <c r="H71" s="8161" t="s">
        <v>24</v>
      </c>
      <c r="I71" s="8161" t="s">
        <v>828</v>
      </c>
    </row>
    <row customHeight="1" ht="11.25">
      <c r="A72" s="8161" t="s">
        <v>2279</v>
      </c>
      <c r="B72" s="8161" t="s">
        <v>14</v>
      </c>
      <c r="C72" s="8161" t="s">
        <v>2535</v>
      </c>
      <c r="D72" s="8161" t="s">
        <v>2536</v>
      </c>
      <c r="E72" s="8161" t="s">
        <v>2396</v>
      </c>
      <c r="F72" s="8161" t="s">
        <v>2537</v>
      </c>
      <c r="G72" s="8161" t="s">
        <v>24</v>
      </c>
      <c r="H72" s="8161" t="s">
        <v>24</v>
      </c>
      <c r="I72" s="8161" t="s">
        <v>828</v>
      </c>
    </row>
    <row customHeight="1" ht="11.25">
      <c r="A73" s="8161" t="s">
        <v>2279</v>
      </c>
      <c r="B73" s="8161" t="s">
        <v>14</v>
      </c>
      <c r="C73" s="8161" t="s">
        <v>2538</v>
      </c>
      <c r="D73" s="8161" t="s">
        <v>2539</v>
      </c>
      <c r="E73" s="8161" t="s">
        <v>2540</v>
      </c>
      <c r="F73" s="8161" t="s">
        <v>2484</v>
      </c>
      <c r="G73" s="8161" t="s">
        <v>24</v>
      </c>
      <c r="H73" s="8161" t="s">
        <v>24</v>
      </c>
      <c r="I73" s="8161" t="s">
        <v>828</v>
      </c>
    </row>
    <row customHeight="1" ht="11.25">
      <c r="A74" s="8161" t="s">
        <v>2279</v>
      </c>
      <c r="B74" s="8161" t="s">
        <v>14</v>
      </c>
      <c r="C74" s="8161" t="s">
        <v>2541</v>
      </c>
      <c r="D74" s="8161" t="s">
        <v>2542</v>
      </c>
      <c r="E74" s="8161" t="s">
        <v>2543</v>
      </c>
      <c r="F74" s="8161" t="s">
        <v>2321</v>
      </c>
      <c r="G74" s="8161" t="s">
        <v>24</v>
      </c>
      <c r="H74" s="8161" t="s">
        <v>24</v>
      </c>
      <c r="I74" s="8161" t="s">
        <v>828</v>
      </c>
    </row>
    <row customHeight="1" ht="11.25">
      <c r="A75" s="8161" t="s">
        <v>2279</v>
      </c>
      <c r="B75" s="8161" t="s">
        <v>14</v>
      </c>
      <c r="C75" s="8161" t="s">
        <v>2544</v>
      </c>
      <c r="D75" s="8161" t="s">
        <v>2545</v>
      </c>
      <c r="E75" s="8161" t="s">
        <v>2546</v>
      </c>
      <c r="F75" s="8161" t="s">
        <v>2291</v>
      </c>
      <c r="G75" s="8161" t="s">
        <v>24</v>
      </c>
      <c r="H75" s="8161" t="s">
        <v>24</v>
      </c>
      <c r="I75" s="8161" t="s">
        <v>828</v>
      </c>
    </row>
    <row customHeight="1" ht="11.25">
      <c r="A76" s="8161" t="s">
        <v>2279</v>
      </c>
      <c r="B76" s="8161" t="s">
        <v>14</v>
      </c>
      <c r="C76" s="8161" t="s">
        <v>2547</v>
      </c>
      <c r="D76" s="8161" t="s">
        <v>2548</v>
      </c>
      <c r="E76" s="8161" t="s">
        <v>2549</v>
      </c>
      <c r="F76" s="8161" t="s">
        <v>2300</v>
      </c>
      <c r="G76" s="8161" t="s">
        <v>24</v>
      </c>
      <c r="H76" s="8161" t="s">
        <v>2550</v>
      </c>
      <c r="I76" s="8161" t="s">
        <v>828</v>
      </c>
    </row>
    <row customHeight="1" ht="11.25">
      <c r="A77" s="8161" t="s">
        <v>2279</v>
      </c>
      <c r="B77" s="8161" t="s">
        <v>14</v>
      </c>
      <c r="C77" s="8161" t="s">
        <v>2551</v>
      </c>
      <c r="D77" s="8161" t="s">
        <v>2552</v>
      </c>
      <c r="E77" s="8161" t="s">
        <v>2553</v>
      </c>
      <c r="F77" s="8161" t="s">
        <v>2296</v>
      </c>
      <c r="G77" s="8161" t="s">
        <v>24</v>
      </c>
      <c r="H77" s="8161" t="s">
        <v>24</v>
      </c>
      <c r="I77" s="8161" t="s">
        <v>828</v>
      </c>
    </row>
    <row customHeight="1" ht="11.25">
      <c r="A78" s="8161" t="s">
        <v>2279</v>
      </c>
      <c r="B78" s="8161" t="s">
        <v>14</v>
      </c>
      <c r="C78" s="8161" t="s">
        <v>2554</v>
      </c>
      <c r="D78" s="8161" t="s">
        <v>2555</v>
      </c>
      <c r="E78" s="8161" t="s">
        <v>2556</v>
      </c>
      <c r="F78" s="8161" t="s">
        <v>48</v>
      </c>
      <c r="G78" s="8161" t="s">
        <v>24</v>
      </c>
      <c r="H78" s="8161" t="s">
        <v>24</v>
      </c>
      <c r="I78" s="8161" t="s">
        <v>828</v>
      </c>
    </row>
    <row customHeight="1" ht="11.25">
      <c r="A79" s="8161" t="s">
        <v>2279</v>
      </c>
      <c r="B79" s="8161" t="s">
        <v>14</v>
      </c>
      <c r="C79" s="8161" t="s">
        <v>2557</v>
      </c>
      <c r="D79" s="8161" t="s">
        <v>2558</v>
      </c>
      <c r="E79" s="8161" t="s">
        <v>2559</v>
      </c>
      <c r="F79" s="8161" t="s">
        <v>2560</v>
      </c>
      <c r="G79" s="8161" t="s">
        <v>2561</v>
      </c>
      <c r="H79" s="8161" t="s">
        <v>24</v>
      </c>
      <c r="I79" s="8161" t="s">
        <v>828</v>
      </c>
    </row>
    <row customHeight="1" ht="11.25">
      <c r="A80" s="8161" t="s">
        <v>2279</v>
      </c>
      <c r="B80" s="8161" t="s">
        <v>14</v>
      </c>
      <c r="C80" s="8161" t="s">
        <v>2562</v>
      </c>
      <c r="D80" s="8161" t="s">
        <v>2563</v>
      </c>
      <c r="E80" s="8161" t="s">
        <v>2564</v>
      </c>
      <c r="F80" s="8161" t="s">
        <v>2565</v>
      </c>
      <c r="G80" s="8161" t="s">
        <v>24</v>
      </c>
      <c r="H80" s="8161" t="s">
        <v>2566</v>
      </c>
      <c r="I80" s="8161" t="s">
        <v>828</v>
      </c>
    </row>
    <row customHeight="1" ht="11.25">
      <c r="A81" s="8161" t="s">
        <v>2279</v>
      </c>
      <c r="B81" s="8161" t="s">
        <v>14</v>
      </c>
      <c r="C81" s="8161" t="s">
        <v>2567</v>
      </c>
      <c r="D81" s="8161" t="s">
        <v>2568</v>
      </c>
      <c r="E81" s="8161" t="s">
        <v>2569</v>
      </c>
      <c r="F81" s="8161" t="s">
        <v>2296</v>
      </c>
      <c r="G81" s="8161" t="s">
        <v>2570</v>
      </c>
      <c r="H81" s="8161" t="s">
        <v>24</v>
      </c>
      <c r="I81" s="8161" t="s">
        <v>828</v>
      </c>
    </row>
    <row customHeight="1" ht="11.25">
      <c r="A82" s="8161" t="s">
        <v>2279</v>
      </c>
      <c r="B82" s="8161" t="s">
        <v>14</v>
      </c>
      <c r="C82" s="8161" t="s">
        <v>2571</v>
      </c>
      <c r="D82" s="8161" t="s">
        <v>2572</v>
      </c>
      <c r="E82" s="8161" t="s">
        <v>2573</v>
      </c>
      <c r="F82" s="8161" t="s">
        <v>2574</v>
      </c>
      <c r="G82" s="8161" t="s">
        <v>24</v>
      </c>
      <c r="H82" s="8161" t="s">
        <v>2575</v>
      </c>
      <c r="I82" s="8161" t="s">
        <v>828</v>
      </c>
    </row>
    <row customHeight="1" ht="11.25">
      <c r="A83" s="8161" t="s">
        <v>2279</v>
      </c>
      <c r="B83" s="8161" t="s">
        <v>14</v>
      </c>
      <c r="C83" s="8161" t="s">
        <v>2576</v>
      </c>
      <c r="D83" s="8161" t="s">
        <v>2577</v>
      </c>
      <c r="E83" s="8161" t="s">
        <v>2578</v>
      </c>
      <c r="F83" s="8161" t="s">
        <v>2574</v>
      </c>
      <c r="G83" s="8161" t="s">
        <v>24</v>
      </c>
      <c r="H83" s="8161" t="s">
        <v>2579</v>
      </c>
      <c r="I83" s="8161" t="s">
        <v>828</v>
      </c>
    </row>
    <row customHeight="1" ht="11.25">
      <c r="A84" s="8161" t="s">
        <v>2279</v>
      </c>
      <c r="B84" s="8161" t="s">
        <v>14</v>
      </c>
      <c r="C84" s="8161" t="s">
        <v>2580</v>
      </c>
      <c r="D84" s="8161" t="s">
        <v>2581</v>
      </c>
      <c r="E84" s="8161" t="s">
        <v>2582</v>
      </c>
      <c r="F84" s="8161" t="s">
        <v>2367</v>
      </c>
      <c r="G84" s="8161" t="s">
        <v>24</v>
      </c>
      <c r="H84" s="8161" t="s">
        <v>2583</v>
      </c>
      <c r="I84" s="8161" t="s">
        <v>828</v>
      </c>
    </row>
    <row customHeight="1" ht="11.25">
      <c r="A85" s="8161" t="s">
        <v>2279</v>
      </c>
      <c r="B85" s="8161" t="s">
        <v>14</v>
      </c>
      <c r="C85" s="8161" t="s">
        <v>2584</v>
      </c>
      <c r="D85" s="8161" t="s">
        <v>2585</v>
      </c>
      <c r="E85" s="8161" t="s">
        <v>2586</v>
      </c>
      <c r="F85" s="8161" t="s">
        <v>2367</v>
      </c>
      <c r="G85" s="8161" t="s">
        <v>24</v>
      </c>
      <c r="H85" s="8161" t="s">
        <v>2587</v>
      </c>
      <c r="I85" s="8161" t="s">
        <v>828</v>
      </c>
    </row>
    <row customHeight="1" ht="11.25">
      <c r="A86" s="8161" t="s">
        <v>2279</v>
      </c>
      <c r="B86" s="8161" t="s">
        <v>14</v>
      </c>
      <c r="C86" s="8161" t="s">
        <v>2588</v>
      </c>
      <c r="D86" s="8161" t="s">
        <v>2589</v>
      </c>
      <c r="E86" s="8161" t="s">
        <v>2590</v>
      </c>
      <c r="F86" s="8161" t="s">
        <v>2296</v>
      </c>
      <c r="G86" s="8161" t="s">
        <v>2591</v>
      </c>
      <c r="H86" s="8161" t="s">
        <v>24</v>
      </c>
      <c r="I86" s="8161" t="s">
        <v>828</v>
      </c>
    </row>
    <row customHeight="1" ht="11.25">
      <c r="A87" s="8161" t="s">
        <v>2279</v>
      </c>
      <c r="B87" s="8161" t="s">
        <v>14</v>
      </c>
      <c r="C87" s="8161" t="s">
        <v>2592</v>
      </c>
      <c r="D87" s="8161" t="s">
        <v>2593</v>
      </c>
      <c r="E87" s="8161" t="s">
        <v>2594</v>
      </c>
      <c r="F87" s="8161" t="s">
        <v>2339</v>
      </c>
      <c r="G87" s="8161" t="s">
        <v>24</v>
      </c>
      <c r="H87" s="8161" t="s">
        <v>2595</v>
      </c>
      <c r="I87" s="8161" t="s">
        <v>828</v>
      </c>
    </row>
    <row customHeight="1" ht="11.25">
      <c r="A88" s="8161" t="s">
        <v>2279</v>
      </c>
      <c r="B88" s="8161" t="s">
        <v>14</v>
      </c>
      <c r="C88" s="8161" t="s">
        <v>2596</v>
      </c>
      <c r="D88" s="8161" t="s">
        <v>2597</v>
      </c>
      <c r="E88" s="8161" t="s">
        <v>2598</v>
      </c>
      <c r="F88" s="8161" t="s">
        <v>2599</v>
      </c>
      <c r="G88" s="8161" t="s">
        <v>24</v>
      </c>
      <c r="H88" s="8161" t="s">
        <v>24</v>
      </c>
      <c r="I88" s="8161" t="s">
        <v>828</v>
      </c>
    </row>
    <row customHeight="1" ht="11.25">
      <c r="A89" s="8161" t="s">
        <v>2279</v>
      </c>
      <c r="B89" s="8161" t="s">
        <v>14</v>
      </c>
      <c r="C89" s="8161" t="s">
        <v>2600</v>
      </c>
      <c r="D89" s="8161" t="s">
        <v>2601</v>
      </c>
      <c r="E89" s="8161" t="s">
        <v>2602</v>
      </c>
      <c r="F89" s="8161" t="s">
        <v>2560</v>
      </c>
      <c r="G89" s="8161" t="s">
        <v>24</v>
      </c>
      <c r="H89" s="8161" t="s">
        <v>24</v>
      </c>
      <c r="I89" s="8161" t="s">
        <v>828</v>
      </c>
    </row>
    <row customHeight="1" ht="11.25">
      <c r="A90" s="8161" t="s">
        <v>2279</v>
      </c>
      <c r="B90" s="8161" t="s">
        <v>14</v>
      </c>
      <c r="C90" s="8161" t="s">
        <v>2603</v>
      </c>
      <c r="D90" s="8161" t="s">
        <v>2604</v>
      </c>
      <c r="E90" s="8161" t="s">
        <v>2605</v>
      </c>
      <c r="F90" s="8161" t="s">
        <v>2291</v>
      </c>
      <c r="G90" s="8161" t="s">
        <v>24</v>
      </c>
      <c r="H90" s="8161" t="s">
        <v>24</v>
      </c>
      <c r="I90" s="8161" t="s">
        <v>828</v>
      </c>
    </row>
    <row customHeight="1" ht="11.25">
      <c r="A91" s="8161" t="s">
        <v>2279</v>
      </c>
      <c r="B91" s="8161" t="s">
        <v>14</v>
      </c>
      <c r="C91" s="8161" t="s">
        <v>2606</v>
      </c>
      <c r="D91" s="8161" t="s">
        <v>2607</v>
      </c>
      <c r="E91" s="8161" t="s">
        <v>2608</v>
      </c>
      <c r="F91" s="8161" t="s">
        <v>2560</v>
      </c>
      <c r="G91" s="8161" t="s">
        <v>24</v>
      </c>
      <c r="H91" s="8161" t="s">
        <v>24</v>
      </c>
      <c r="I91" s="8161" t="s">
        <v>828</v>
      </c>
    </row>
    <row customHeight="1" ht="11.25">
      <c r="A92" s="8161" t="s">
        <v>2279</v>
      </c>
      <c r="B92" s="8161" t="s">
        <v>14</v>
      </c>
      <c r="C92" s="8161" t="s">
        <v>2609</v>
      </c>
      <c r="D92" s="8161" t="s">
        <v>2610</v>
      </c>
      <c r="E92" s="8161" t="s">
        <v>2611</v>
      </c>
      <c r="F92" s="8161" t="s">
        <v>2438</v>
      </c>
      <c r="G92" s="8161" t="s">
        <v>2612</v>
      </c>
      <c r="H92" s="8161" t="s">
        <v>24</v>
      </c>
      <c r="I92" s="8161" t="s">
        <v>828</v>
      </c>
    </row>
    <row customHeight="1" ht="11.25">
      <c r="A93" s="8161" t="s">
        <v>2279</v>
      </c>
      <c r="B93" s="8161" t="s">
        <v>14</v>
      </c>
      <c r="C93" s="8161" t="s">
        <v>2613</v>
      </c>
      <c r="D93" s="8161" t="s">
        <v>2614</v>
      </c>
      <c r="E93" s="8161" t="s">
        <v>2615</v>
      </c>
      <c r="F93" s="8161" t="s">
        <v>2616</v>
      </c>
      <c r="G93" s="8161" t="s">
        <v>2617</v>
      </c>
      <c r="H93" s="8161" t="s">
        <v>24</v>
      </c>
      <c r="I93" s="8161" t="s">
        <v>828</v>
      </c>
    </row>
    <row customHeight="1" ht="11.25">
      <c r="A94" s="8161" t="s">
        <v>2279</v>
      </c>
      <c r="B94" s="8161" t="s">
        <v>14</v>
      </c>
      <c r="C94" s="8161" t="s">
        <v>2618</v>
      </c>
      <c r="D94" s="8161" t="s">
        <v>2619</v>
      </c>
      <c r="E94" s="8161" t="s">
        <v>2620</v>
      </c>
      <c r="F94" s="8161" t="s">
        <v>2560</v>
      </c>
      <c r="G94" s="8161" t="s">
        <v>24</v>
      </c>
      <c r="H94" s="8161" t="s">
        <v>24</v>
      </c>
      <c r="I94" s="8161" t="s">
        <v>828</v>
      </c>
    </row>
    <row customHeight="1" ht="11.25">
      <c r="A95" s="8161" t="s">
        <v>2279</v>
      </c>
      <c r="B95" s="8161" t="s">
        <v>14</v>
      </c>
      <c r="C95" s="8161" t="s">
        <v>2621</v>
      </c>
      <c r="D95" s="8161" t="s">
        <v>2622</v>
      </c>
      <c r="E95" s="8161" t="s">
        <v>2623</v>
      </c>
      <c r="F95" s="8161" t="s">
        <v>2560</v>
      </c>
      <c r="G95" s="8161" t="s">
        <v>24</v>
      </c>
      <c r="H95" s="8161" t="s">
        <v>24</v>
      </c>
      <c r="I95" s="8161" t="s">
        <v>828</v>
      </c>
    </row>
    <row customHeight="1" ht="11.25">
      <c r="A96" s="8161" t="s">
        <v>2279</v>
      </c>
      <c r="B96" s="8161" t="s">
        <v>14</v>
      </c>
      <c r="C96" s="8161" t="s">
        <v>2624</v>
      </c>
      <c r="D96" s="8161" t="s">
        <v>2625</v>
      </c>
      <c r="E96" s="8161" t="s">
        <v>2626</v>
      </c>
      <c r="F96" s="8161" t="s">
        <v>2296</v>
      </c>
      <c r="G96" s="8161" t="s">
        <v>24</v>
      </c>
      <c r="H96" s="8161" t="s">
        <v>2627</v>
      </c>
      <c r="I96" s="8161" t="s">
        <v>828</v>
      </c>
    </row>
    <row customHeight="1" ht="11.25">
      <c r="A97" s="8161" t="s">
        <v>2279</v>
      </c>
      <c r="B97" s="8161" t="s">
        <v>14</v>
      </c>
      <c r="C97" s="8161" t="s">
        <v>2628</v>
      </c>
      <c r="D97" s="8161" t="s">
        <v>2629</v>
      </c>
      <c r="E97" s="8161" t="s">
        <v>2630</v>
      </c>
      <c r="F97" s="8161" t="s">
        <v>2631</v>
      </c>
      <c r="G97" s="8161" t="s">
        <v>2632</v>
      </c>
      <c r="H97" s="8161" t="s">
        <v>2633</v>
      </c>
      <c r="I97" s="8161" t="s">
        <v>828</v>
      </c>
    </row>
    <row customHeight="1" ht="11.25">
      <c r="A98" s="8161" t="s">
        <v>2279</v>
      </c>
      <c r="B98" s="8161" t="s">
        <v>14</v>
      </c>
      <c r="C98" s="8161" t="s">
        <v>2634</v>
      </c>
      <c r="D98" s="8161" t="s">
        <v>2635</v>
      </c>
      <c r="E98" s="8161" t="s">
        <v>2636</v>
      </c>
      <c r="F98" s="8161" t="s">
        <v>2296</v>
      </c>
      <c r="G98" s="8161" t="s">
        <v>24</v>
      </c>
      <c r="H98" s="8161" t="s">
        <v>2637</v>
      </c>
      <c r="I98" s="8161" t="s">
        <v>828</v>
      </c>
    </row>
    <row customHeight="1" ht="11.25">
      <c r="A99" s="8161" t="s">
        <v>2279</v>
      </c>
      <c r="B99" s="8161" t="s">
        <v>14</v>
      </c>
      <c r="C99" s="8161" t="s">
        <v>2638</v>
      </c>
      <c r="D99" s="8161" t="s">
        <v>2639</v>
      </c>
      <c r="E99" s="8161" t="s">
        <v>2640</v>
      </c>
      <c r="F99" s="8161" t="s">
        <v>48</v>
      </c>
      <c r="G99" s="8161" t="s">
        <v>2641</v>
      </c>
      <c r="H99" s="8161" t="s">
        <v>2311</v>
      </c>
      <c r="I99" s="8161" t="s">
        <v>828</v>
      </c>
    </row>
    <row customHeight="1" ht="11.25">
      <c r="A100" s="8161" t="s">
        <v>2279</v>
      </c>
      <c r="B100" s="8161" t="s">
        <v>14</v>
      </c>
      <c r="C100" s="8161" t="s">
        <v>2642</v>
      </c>
      <c r="D100" s="8161" t="s">
        <v>2643</v>
      </c>
      <c r="E100" s="8161" t="s">
        <v>2644</v>
      </c>
      <c r="F100" s="8161" t="s">
        <v>2287</v>
      </c>
      <c r="G100" s="8161" t="s">
        <v>24</v>
      </c>
      <c r="H100" s="8161" t="s">
        <v>24</v>
      </c>
      <c r="I100" s="8161" t="s">
        <v>828</v>
      </c>
    </row>
    <row customHeight="1" ht="11.25">
      <c r="A101" s="8161" t="s">
        <v>2279</v>
      </c>
      <c r="B101" s="8161" t="s">
        <v>14</v>
      </c>
      <c r="C101" s="8161" t="s">
        <v>2645</v>
      </c>
      <c r="D101" s="8161" t="s">
        <v>2646</v>
      </c>
      <c r="E101" s="8161" t="s">
        <v>2647</v>
      </c>
      <c r="F101" s="8161" t="s">
        <v>2418</v>
      </c>
      <c r="G101" s="8161" t="s">
        <v>2648</v>
      </c>
      <c r="H101" s="8161" t="s">
        <v>2649</v>
      </c>
      <c r="I101" s="8161" t="s">
        <v>828</v>
      </c>
    </row>
    <row customHeight="1" ht="11.25">
      <c r="A102" s="8161" t="s">
        <v>2279</v>
      </c>
      <c r="B102" s="8161" t="s">
        <v>14</v>
      </c>
      <c r="C102" s="8161" t="s">
        <v>2650</v>
      </c>
      <c r="D102" s="8161" t="s">
        <v>2651</v>
      </c>
      <c r="E102" s="8161" t="s">
        <v>2652</v>
      </c>
      <c r="F102" s="8161" t="s">
        <v>2339</v>
      </c>
      <c r="G102" s="8161" t="s">
        <v>24</v>
      </c>
      <c r="H102" s="8161" t="s">
        <v>24</v>
      </c>
      <c r="I102" s="8161" t="s">
        <v>828</v>
      </c>
    </row>
    <row customHeight="1" ht="11.25">
      <c r="A103" s="8161" t="s">
        <v>2279</v>
      </c>
      <c r="B103" s="8161" t="s">
        <v>14</v>
      </c>
      <c r="C103" s="8161" t="s">
        <v>2653</v>
      </c>
      <c r="D103" s="8161" t="s">
        <v>2654</v>
      </c>
      <c r="E103" s="8161" t="s">
        <v>2655</v>
      </c>
      <c r="F103" s="8161" t="s">
        <v>2339</v>
      </c>
      <c r="G103" s="8161" t="s">
        <v>24</v>
      </c>
      <c r="H103" s="8161" t="s">
        <v>2656</v>
      </c>
      <c r="I103" s="8161" t="s">
        <v>828</v>
      </c>
    </row>
    <row customHeight="1" ht="11.25">
      <c r="A104" s="8161" t="s">
        <v>2279</v>
      </c>
      <c r="B104" s="8161" t="s">
        <v>14</v>
      </c>
      <c r="C104" s="8161" t="s">
        <v>2657</v>
      </c>
      <c r="D104" s="8161" t="s">
        <v>2658</v>
      </c>
      <c r="E104" s="8161" t="s">
        <v>2659</v>
      </c>
      <c r="F104" s="8161" t="s">
        <v>2296</v>
      </c>
      <c r="G104" s="8161" t="s">
        <v>24</v>
      </c>
      <c r="H104" s="8161" t="s">
        <v>24</v>
      </c>
      <c r="I104" s="8161" t="s">
        <v>828</v>
      </c>
    </row>
    <row customHeight="1" ht="11.25">
      <c r="A105" s="8161" t="s">
        <v>2279</v>
      </c>
      <c r="B105" s="8161" t="s">
        <v>14</v>
      </c>
      <c r="C105" s="8161" t="s">
        <v>2660</v>
      </c>
      <c r="D105" s="8161" t="s">
        <v>2661</v>
      </c>
      <c r="E105" s="8161" t="s">
        <v>2662</v>
      </c>
      <c r="F105" s="8161" t="s">
        <v>2663</v>
      </c>
      <c r="G105" s="8161" t="s">
        <v>2664</v>
      </c>
      <c r="H105" s="8161" t="s">
        <v>24</v>
      </c>
      <c r="I105" s="8161" t="s">
        <v>828</v>
      </c>
    </row>
    <row customHeight="1" ht="11.25">
      <c r="A106" s="8161" t="s">
        <v>2279</v>
      </c>
      <c r="B106" s="8161" t="s">
        <v>14</v>
      </c>
      <c r="C106" s="8161" t="s">
        <v>2665</v>
      </c>
      <c r="D106" s="8161" t="s">
        <v>2666</v>
      </c>
      <c r="E106" s="8161" t="s">
        <v>2667</v>
      </c>
      <c r="F106" s="8161" t="s">
        <v>2283</v>
      </c>
      <c r="G106" s="8161" t="s">
        <v>2668</v>
      </c>
      <c r="H106" s="8161" t="s">
        <v>24</v>
      </c>
      <c r="I106" s="8161" t="s">
        <v>828</v>
      </c>
    </row>
    <row customHeight="1" ht="11.25">
      <c r="A107" s="8161" t="s">
        <v>2279</v>
      </c>
      <c r="B107" s="8161" t="s">
        <v>14</v>
      </c>
      <c r="C107" s="8161" t="s">
        <v>2669</v>
      </c>
      <c r="D107" s="8161" t="s">
        <v>2670</v>
      </c>
      <c r="E107" s="8161" t="s">
        <v>2671</v>
      </c>
      <c r="F107" s="8161" t="s">
        <v>2672</v>
      </c>
      <c r="G107" s="8161" t="s">
        <v>24</v>
      </c>
      <c r="H107" s="8161" t="s">
        <v>24</v>
      </c>
      <c r="I107" s="8161" t="s">
        <v>828</v>
      </c>
    </row>
    <row customHeight="1" ht="11.25">
      <c r="A108" s="8161" t="s">
        <v>2279</v>
      </c>
      <c r="B108" s="8161" t="s">
        <v>14</v>
      </c>
      <c r="C108" s="8161" t="s">
        <v>2673</v>
      </c>
      <c r="D108" s="8161" t="s">
        <v>2674</v>
      </c>
      <c r="E108" s="8161" t="s">
        <v>2675</v>
      </c>
      <c r="F108" s="8161" t="s">
        <v>2448</v>
      </c>
      <c r="G108" s="8161" t="s">
        <v>2676</v>
      </c>
      <c r="H108" s="8161" t="s">
        <v>24</v>
      </c>
      <c r="I108" s="8161" t="s">
        <v>828</v>
      </c>
    </row>
    <row customHeight="1" ht="11.25">
      <c r="A109" s="8161" t="s">
        <v>2279</v>
      </c>
      <c r="B109" s="8161" t="s">
        <v>14</v>
      </c>
      <c r="C109" s="8161" t="s">
        <v>2677</v>
      </c>
      <c r="D109" s="8161" t="s">
        <v>2678</v>
      </c>
      <c r="E109" s="8161" t="s">
        <v>2679</v>
      </c>
      <c r="F109" s="8161" t="s">
        <v>2680</v>
      </c>
      <c r="G109" s="8161" t="s">
        <v>2681</v>
      </c>
      <c r="H109" s="8161" t="s">
        <v>2682</v>
      </c>
      <c r="I109" s="8161" t="s">
        <v>828</v>
      </c>
    </row>
    <row customHeight="1" ht="11.25">
      <c r="A110" s="8161" t="s">
        <v>2279</v>
      </c>
      <c r="B110" s="8161" t="s">
        <v>14</v>
      </c>
      <c r="C110" s="8161" t="s">
        <v>2683</v>
      </c>
      <c r="D110" s="8161" t="s">
        <v>2684</v>
      </c>
      <c r="E110" s="8161" t="s">
        <v>2685</v>
      </c>
      <c r="F110" s="8161" t="s">
        <v>2686</v>
      </c>
      <c r="G110" s="8161" t="s">
        <v>24</v>
      </c>
      <c r="H110" s="8161" t="s">
        <v>2687</v>
      </c>
      <c r="I110" s="8161" t="s">
        <v>828</v>
      </c>
    </row>
    <row customHeight="1" ht="11.25">
      <c r="A111" s="8161" t="s">
        <v>2279</v>
      </c>
      <c r="B111" s="8161" t="s">
        <v>14</v>
      </c>
      <c r="C111" s="8161" t="s">
        <v>2688</v>
      </c>
      <c r="D111" s="8161" t="s">
        <v>2689</v>
      </c>
      <c r="E111" s="8161" t="s">
        <v>2690</v>
      </c>
      <c r="F111" s="8161" t="s">
        <v>2359</v>
      </c>
      <c r="G111" s="8161" t="s">
        <v>24</v>
      </c>
      <c r="H111" s="8161" t="s">
        <v>24</v>
      </c>
      <c r="I111" s="8161" t="s">
        <v>828</v>
      </c>
    </row>
    <row customHeight="1" ht="11.25">
      <c r="A112" s="8161" t="s">
        <v>2279</v>
      </c>
      <c r="B112" s="8161" t="s">
        <v>14</v>
      </c>
      <c r="C112" s="8161" t="s">
        <v>2691</v>
      </c>
      <c r="D112" s="8161" t="s">
        <v>2692</v>
      </c>
      <c r="E112" s="8161" t="s">
        <v>2693</v>
      </c>
      <c r="F112" s="8161" t="s">
        <v>2339</v>
      </c>
      <c r="G112" s="8161" t="s">
        <v>24</v>
      </c>
      <c r="H112" s="8161" t="s">
        <v>24</v>
      </c>
      <c r="I112" s="8161" t="s">
        <v>828</v>
      </c>
    </row>
    <row customHeight="1" ht="11.25">
      <c r="A113" s="8161" t="s">
        <v>2279</v>
      </c>
      <c r="B113" s="8161" t="s">
        <v>14</v>
      </c>
      <c r="C113" s="8161" t="s">
        <v>2694</v>
      </c>
      <c r="D113" s="8161" t="s">
        <v>2695</v>
      </c>
      <c r="E113" s="8161" t="s">
        <v>2696</v>
      </c>
      <c r="F113" s="8161" t="s">
        <v>2697</v>
      </c>
      <c r="G113" s="8161" t="s">
        <v>24</v>
      </c>
      <c r="H113" s="8161" t="s">
        <v>2698</v>
      </c>
      <c r="I113" s="8161" t="s">
        <v>828</v>
      </c>
    </row>
    <row customHeight="1" ht="11.25">
      <c r="A114" s="8161" t="s">
        <v>2279</v>
      </c>
      <c r="B114" s="8161" t="s">
        <v>14</v>
      </c>
      <c r="C114" s="8161" t="s">
        <v>2699</v>
      </c>
      <c r="D114" s="8161" t="s">
        <v>2700</v>
      </c>
      <c r="E114" s="8161" t="s">
        <v>2701</v>
      </c>
      <c r="F114" s="8161" t="s">
        <v>2418</v>
      </c>
      <c r="G114" s="8161" t="s">
        <v>24</v>
      </c>
      <c r="H114" s="8161" t="s">
        <v>24</v>
      </c>
      <c r="I114" s="8161" t="s">
        <v>828</v>
      </c>
    </row>
    <row customHeight="1" ht="11.25">
      <c r="A115" s="8161" t="s">
        <v>2279</v>
      </c>
      <c r="B115" s="8161" t="s">
        <v>14</v>
      </c>
      <c r="C115" s="8161" t="s">
        <v>2702</v>
      </c>
      <c r="D115" s="8161" t="s">
        <v>2703</v>
      </c>
      <c r="E115" s="8161" t="s">
        <v>2704</v>
      </c>
      <c r="F115" s="8161" t="s">
        <v>2705</v>
      </c>
      <c r="G115" s="8161" t="s">
        <v>24</v>
      </c>
      <c r="H115" s="8161" t="s">
        <v>2706</v>
      </c>
      <c r="I115" s="8161" t="s">
        <v>828</v>
      </c>
    </row>
    <row customHeight="1" ht="11.25">
      <c r="A116" s="8161" t="s">
        <v>2279</v>
      </c>
      <c r="B116" s="8161" t="s">
        <v>14</v>
      </c>
      <c r="C116" s="8161" t="s">
        <v>2707</v>
      </c>
      <c r="D116" s="8161" t="s">
        <v>2708</v>
      </c>
      <c r="E116" s="8161" t="s">
        <v>2709</v>
      </c>
      <c r="F116" s="8161" t="s">
        <v>2287</v>
      </c>
      <c r="G116" s="8161" t="s">
        <v>24</v>
      </c>
      <c r="H116" s="8161" t="s">
        <v>2710</v>
      </c>
      <c r="I116" s="8161" t="s">
        <v>828</v>
      </c>
    </row>
    <row customHeight="1" ht="11.25">
      <c r="A117" s="8161" t="s">
        <v>2279</v>
      </c>
      <c r="B117" s="8161" t="s">
        <v>14</v>
      </c>
      <c r="C117" s="8161" t="s">
        <v>2711</v>
      </c>
      <c r="D117" s="8161" t="s">
        <v>2708</v>
      </c>
      <c r="E117" s="8161" t="s">
        <v>2712</v>
      </c>
      <c r="F117" s="8161" t="s">
        <v>2296</v>
      </c>
      <c r="G117" s="8161" t="s">
        <v>24</v>
      </c>
      <c r="H117" s="8161" t="s">
        <v>2713</v>
      </c>
      <c r="I117" s="8161" t="s">
        <v>828</v>
      </c>
    </row>
    <row customHeight="1" ht="11.25">
      <c r="A118" s="8161" t="s">
        <v>2279</v>
      </c>
      <c r="B118" s="8161" t="s">
        <v>14</v>
      </c>
      <c r="C118" s="8161" t="s">
        <v>2714</v>
      </c>
      <c r="D118" s="8161" t="s">
        <v>2715</v>
      </c>
      <c r="E118" s="8161" t="s">
        <v>2716</v>
      </c>
      <c r="F118" s="8161" t="s">
        <v>2296</v>
      </c>
      <c r="G118" s="8161" t="s">
        <v>24</v>
      </c>
      <c r="H118" s="8161" t="s">
        <v>24</v>
      </c>
      <c r="I118" s="8161" t="s">
        <v>828</v>
      </c>
    </row>
    <row customHeight="1" ht="11.25">
      <c r="A119" s="8161" t="s">
        <v>2279</v>
      </c>
      <c r="B119" s="8161" t="s">
        <v>14</v>
      </c>
      <c r="C119" s="8161" t="s">
        <v>2717</v>
      </c>
      <c r="D119" s="8161" t="s">
        <v>2718</v>
      </c>
      <c r="E119" s="8161" t="s">
        <v>2719</v>
      </c>
      <c r="F119" s="8161" t="s">
        <v>2720</v>
      </c>
      <c r="G119" s="8161" t="s">
        <v>24</v>
      </c>
      <c r="H119" s="8161" t="s">
        <v>24</v>
      </c>
      <c r="I119" s="8161" t="s">
        <v>828</v>
      </c>
    </row>
    <row customHeight="1" ht="11.25">
      <c r="A120" s="8161" t="s">
        <v>2279</v>
      </c>
      <c r="B120" s="8161" t="s">
        <v>14</v>
      </c>
      <c r="C120" s="8161" t="s">
        <v>2721</v>
      </c>
      <c r="D120" s="8161" t="s">
        <v>2722</v>
      </c>
      <c r="E120" s="8161" t="s">
        <v>2723</v>
      </c>
      <c r="F120" s="8161" t="s">
        <v>2418</v>
      </c>
      <c r="G120" s="8161" t="s">
        <v>2360</v>
      </c>
      <c r="H120" s="8161" t="s">
        <v>24</v>
      </c>
      <c r="I120" s="8161" t="s">
        <v>828</v>
      </c>
    </row>
    <row customHeight="1" ht="11.25">
      <c r="A121" s="8161" t="s">
        <v>2279</v>
      </c>
      <c r="B121" s="8161" t="s">
        <v>14</v>
      </c>
      <c r="C121" s="8161" t="s">
        <v>2724</v>
      </c>
      <c r="D121" s="8161" t="s">
        <v>2725</v>
      </c>
      <c r="E121" s="8161" t="s">
        <v>2726</v>
      </c>
      <c r="F121" s="8161" t="s">
        <v>2697</v>
      </c>
      <c r="G121" s="8161" t="s">
        <v>24</v>
      </c>
      <c r="H121" s="8161" t="s">
        <v>24</v>
      </c>
      <c r="I121" s="8161" t="s">
        <v>828</v>
      </c>
    </row>
    <row customHeight="1" ht="11.25">
      <c r="A122" s="8161" t="s">
        <v>2279</v>
      </c>
      <c r="B122" s="8161" t="s">
        <v>14</v>
      </c>
      <c r="C122" s="8161" t="s">
        <v>2727</v>
      </c>
      <c r="D122" s="8161" t="s">
        <v>2728</v>
      </c>
      <c r="E122" s="8161" t="s">
        <v>2729</v>
      </c>
      <c r="F122" s="8161" t="s">
        <v>2339</v>
      </c>
      <c r="G122" s="8161" t="s">
        <v>24</v>
      </c>
      <c r="H122" s="8161" t="s">
        <v>2284</v>
      </c>
      <c r="I122" s="8161" t="s">
        <v>828</v>
      </c>
    </row>
    <row customHeight="1" ht="11.25">
      <c r="A123" s="8161" t="s">
        <v>2279</v>
      </c>
      <c r="B123" s="8161" t="s">
        <v>14</v>
      </c>
      <c r="C123" s="8161" t="s">
        <v>2730</v>
      </c>
      <c r="D123" s="8161" t="s">
        <v>2731</v>
      </c>
      <c r="E123" s="8161" t="s">
        <v>2732</v>
      </c>
      <c r="F123" s="8161" t="s">
        <v>2339</v>
      </c>
      <c r="G123" s="8161" t="s">
        <v>24</v>
      </c>
      <c r="H123" s="8161" t="s">
        <v>2733</v>
      </c>
      <c r="I123" s="8161" t="s">
        <v>828</v>
      </c>
    </row>
    <row customHeight="1" ht="11.25">
      <c r="A124" s="8161" t="s">
        <v>2279</v>
      </c>
      <c r="B124" s="8161" t="s">
        <v>14</v>
      </c>
      <c r="C124" s="8161" t="s">
        <v>2734</v>
      </c>
      <c r="D124" s="8161" t="s">
        <v>2735</v>
      </c>
      <c r="E124" s="8161" t="s">
        <v>2736</v>
      </c>
      <c r="F124" s="8161" t="s">
        <v>2367</v>
      </c>
      <c r="G124" s="8161" t="s">
        <v>24</v>
      </c>
      <c r="H124" s="8161" t="s">
        <v>24</v>
      </c>
      <c r="I124" s="8161" t="s">
        <v>828</v>
      </c>
    </row>
    <row customHeight="1" ht="11.25">
      <c r="A125" s="8161" t="s">
        <v>2279</v>
      </c>
      <c r="B125" s="8161" t="s">
        <v>14</v>
      </c>
      <c r="C125" s="8161" t="s">
        <v>2737</v>
      </c>
      <c r="D125" s="8161" t="s">
        <v>2738</v>
      </c>
      <c r="E125" s="8161" t="s">
        <v>2739</v>
      </c>
      <c r="F125" s="8161" t="s">
        <v>2740</v>
      </c>
      <c r="G125" s="8161" t="s">
        <v>24</v>
      </c>
      <c r="H125" s="8161" t="s">
        <v>24</v>
      </c>
      <c r="I125" s="8161" t="s">
        <v>828</v>
      </c>
    </row>
    <row customHeight="1" ht="11.25">
      <c r="A126" s="8161" t="s">
        <v>2279</v>
      </c>
      <c r="B126" s="8161" t="s">
        <v>14</v>
      </c>
      <c r="C126" s="8161" t="s">
        <v>2741</v>
      </c>
      <c r="D126" s="8161" t="s">
        <v>2742</v>
      </c>
      <c r="E126" s="8161" t="s">
        <v>2743</v>
      </c>
      <c r="F126" s="8161" t="s">
        <v>2291</v>
      </c>
      <c r="G126" s="8161" t="s">
        <v>24</v>
      </c>
      <c r="H126" s="8161" t="s">
        <v>24</v>
      </c>
      <c r="I126" s="8161" t="s">
        <v>828</v>
      </c>
    </row>
    <row customHeight="1" ht="11.25">
      <c r="A127" s="8161" t="s">
        <v>2279</v>
      </c>
      <c r="B127" s="8161" t="s">
        <v>14</v>
      </c>
      <c r="C127" s="8161" t="s">
        <v>2744</v>
      </c>
      <c r="D127" s="8161" t="s">
        <v>2745</v>
      </c>
      <c r="E127" s="8161" t="s">
        <v>2746</v>
      </c>
      <c r="F127" s="8161" t="s">
        <v>2296</v>
      </c>
      <c r="G127" s="8161" t="s">
        <v>24</v>
      </c>
      <c r="H127" s="8161" t="s">
        <v>24</v>
      </c>
      <c r="I127" s="8161" t="s">
        <v>828</v>
      </c>
    </row>
    <row customHeight="1" ht="11.25">
      <c r="A128" s="8161" t="s">
        <v>2279</v>
      </c>
      <c r="B128" s="8161" t="s">
        <v>14</v>
      </c>
      <c r="C128" s="8161" t="s">
        <v>2747</v>
      </c>
      <c r="D128" s="8161" t="s">
        <v>2748</v>
      </c>
      <c r="E128" s="8161" t="s">
        <v>2749</v>
      </c>
      <c r="F128" s="8161" t="s">
        <v>2480</v>
      </c>
      <c r="G128" s="8161" t="s">
        <v>24</v>
      </c>
      <c r="H128" s="8161" t="s">
        <v>2750</v>
      </c>
      <c r="I128" s="8161" t="s">
        <v>828</v>
      </c>
    </row>
    <row customHeight="1" ht="11.25">
      <c r="A129" s="8161" t="s">
        <v>2279</v>
      </c>
      <c r="B129" s="8161" t="s">
        <v>14</v>
      </c>
      <c r="C129" s="8161" t="s">
        <v>2751</v>
      </c>
      <c r="D129" s="8161" t="s">
        <v>2752</v>
      </c>
      <c r="E129" s="8161" t="s">
        <v>2753</v>
      </c>
      <c r="F129" s="8161" t="s">
        <v>2291</v>
      </c>
      <c r="G129" s="8161" t="s">
        <v>24</v>
      </c>
      <c r="H129" s="8161" t="s">
        <v>2754</v>
      </c>
      <c r="I129" s="8161" t="s">
        <v>828</v>
      </c>
    </row>
    <row customHeight="1" ht="11.25">
      <c r="A130" s="8161" t="s">
        <v>2279</v>
      </c>
      <c r="B130" s="8161" t="s">
        <v>14</v>
      </c>
      <c r="C130" s="8161" t="s">
        <v>2755</v>
      </c>
      <c r="D130" s="8161" t="s">
        <v>2756</v>
      </c>
      <c r="E130" s="8161" t="s">
        <v>2757</v>
      </c>
      <c r="F130" s="8161" t="s">
        <v>2367</v>
      </c>
      <c r="G130" s="8161" t="s">
        <v>2758</v>
      </c>
      <c r="H130" s="8161" t="s">
        <v>24</v>
      </c>
      <c r="I130" s="8161" t="s">
        <v>828</v>
      </c>
    </row>
    <row customHeight="1" ht="11.25">
      <c r="A131" s="8161" t="s">
        <v>2279</v>
      </c>
      <c r="B131" s="8161" t="s">
        <v>14</v>
      </c>
      <c r="C131" s="8161" t="s">
        <v>2759</v>
      </c>
      <c r="D131" s="8161" t="s">
        <v>2760</v>
      </c>
      <c r="E131" s="8161" t="s">
        <v>2761</v>
      </c>
      <c r="F131" s="8161" t="s">
        <v>2574</v>
      </c>
      <c r="G131" s="8161" t="s">
        <v>24</v>
      </c>
      <c r="H131" s="8161" t="s">
        <v>24</v>
      </c>
      <c r="I131" s="8161" t="s">
        <v>828</v>
      </c>
    </row>
    <row customHeight="1" ht="11.25">
      <c r="A132" s="8161" t="s">
        <v>2279</v>
      </c>
      <c r="B132" s="8161" t="s">
        <v>14</v>
      </c>
      <c r="C132" s="8161" t="s">
        <v>2762</v>
      </c>
      <c r="D132" s="8161" t="s">
        <v>2763</v>
      </c>
      <c r="E132" s="8161" t="s">
        <v>2764</v>
      </c>
      <c r="F132" s="8161" t="s">
        <v>2287</v>
      </c>
      <c r="G132" s="8161" t="s">
        <v>24</v>
      </c>
      <c r="H132" s="8161" t="s">
        <v>24</v>
      </c>
      <c r="I132" s="8161" t="s">
        <v>828</v>
      </c>
    </row>
    <row customHeight="1" ht="11.25">
      <c r="A133" s="8161" t="s">
        <v>2279</v>
      </c>
      <c r="B133" s="8161" t="s">
        <v>14</v>
      </c>
      <c r="C133" s="8161" t="s">
        <v>2765</v>
      </c>
      <c r="D133" s="8161" t="s">
        <v>2766</v>
      </c>
      <c r="E133" s="8161" t="s">
        <v>2767</v>
      </c>
      <c r="F133" s="8161" t="s">
        <v>2418</v>
      </c>
      <c r="G133" s="8161" t="s">
        <v>24</v>
      </c>
      <c r="H133" s="8161" t="s">
        <v>2311</v>
      </c>
      <c r="I133" s="8161" t="s">
        <v>828</v>
      </c>
    </row>
    <row customHeight="1" ht="11.25">
      <c r="A134" s="8161" t="s">
        <v>2279</v>
      </c>
      <c r="B134" s="8161" t="s">
        <v>14</v>
      </c>
      <c r="C134" s="8161" t="s">
        <v>2768</v>
      </c>
      <c r="D134" s="8161" t="s">
        <v>2769</v>
      </c>
      <c r="E134" s="8161" t="s">
        <v>2303</v>
      </c>
      <c r="F134" s="8161" t="s">
        <v>2770</v>
      </c>
      <c r="G134" s="8161" t="s">
        <v>24</v>
      </c>
      <c r="H134" s="8161" t="s">
        <v>2583</v>
      </c>
      <c r="I134" s="8161" t="s">
        <v>828</v>
      </c>
    </row>
    <row customHeight="1" ht="11.25">
      <c r="A135" s="8161" t="s">
        <v>2279</v>
      </c>
      <c r="B135" s="8161" t="s">
        <v>14</v>
      </c>
      <c r="C135" s="8161" t="s">
        <v>2771</v>
      </c>
      <c r="D135" s="8161" t="s">
        <v>2772</v>
      </c>
      <c r="E135" s="8161" t="s">
        <v>2773</v>
      </c>
      <c r="F135" s="8161" t="s">
        <v>2315</v>
      </c>
      <c r="G135" s="8161" t="s">
        <v>24</v>
      </c>
      <c r="H135" s="8161" t="s">
        <v>24</v>
      </c>
      <c r="I135" s="8161" t="s">
        <v>828</v>
      </c>
    </row>
    <row customHeight="1" ht="11.25">
      <c r="A136" s="8161" t="s">
        <v>2279</v>
      </c>
      <c r="B136" s="8161" t="s">
        <v>14</v>
      </c>
      <c r="C136" s="8161" t="s">
        <v>2774</v>
      </c>
      <c r="D136" s="8161" t="s">
        <v>2775</v>
      </c>
      <c r="E136" s="8161" t="s">
        <v>2776</v>
      </c>
      <c r="F136" s="8161" t="s">
        <v>2296</v>
      </c>
      <c r="G136" s="8161" t="s">
        <v>24</v>
      </c>
      <c r="H136" s="8161" t="s">
        <v>24</v>
      </c>
      <c r="I136" s="8161" t="s">
        <v>828</v>
      </c>
    </row>
    <row customHeight="1" ht="11.25">
      <c r="A137" s="8161" t="s">
        <v>2279</v>
      </c>
      <c r="B137" s="8161" t="s">
        <v>14</v>
      </c>
      <c r="C137" s="8161" t="s">
        <v>2777</v>
      </c>
      <c r="D137" s="8161" t="s">
        <v>2778</v>
      </c>
      <c r="E137" s="8161" t="s">
        <v>2779</v>
      </c>
      <c r="F137" s="8161" t="s">
        <v>2780</v>
      </c>
      <c r="G137" s="8161" t="s">
        <v>2781</v>
      </c>
      <c r="H137" s="8161" t="s">
        <v>24</v>
      </c>
      <c r="I137" s="8161" t="s">
        <v>828</v>
      </c>
    </row>
    <row customHeight="1" ht="11.25">
      <c r="A138" s="8161" t="s">
        <v>2279</v>
      </c>
      <c r="B138" s="8161" t="s">
        <v>14</v>
      </c>
      <c r="C138" s="8161" t="s">
        <v>2782</v>
      </c>
      <c r="D138" s="8161" t="s">
        <v>2783</v>
      </c>
      <c r="E138" s="8161" t="s">
        <v>2784</v>
      </c>
      <c r="F138" s="8161" t="s">
        <v>2740</v>
      </c>
      <c r="G138" s="8161" t="s">
        <v>2785</v>
      </c>
      <c r="H138" s="8161" t="s">
        <v>24</v>
      </c>
      <c r="I138" s="8161" t="s">
        <v>828</v>
      </c>
    </row>
    <row customHeight="1" ht="11.25">
      <c r="A139" s="8161" t="s">
        <v>2279</v>
      </c>
      <c r="B139" s="8161" t="s">
        <v>14</v>
      </c>
      <c r="C139" s="8161" t="s">
        <v>2786</v>
      </c>
      <c r="D139" s="8161" t="s">
        <v>2787</v>
      </c>
      <c r="E139" s="8161" t="s">
        <v>2788</v>
      </c>
      <c r="F139" s="8161" t="s">
        <v>2291</v>
      </c>
      <c r="G139" s="8161" t="s">
        <v>2789</v>
      </c>
      <c r="H139" s="8161" t="s">
        <v>24</v>
      </c>
      <c r="I139" s="8161" t="s">
        <v>828</v>
      </c>
    </row>
    <row customHeight="1" ht="11.25">
      <c r="A140" s="8161" t="s">
        <v>2279</v>
      </c>
      <c r="B140" s="8161" t="s">
        <v>14</v>
      </c>
      <c r="C140" s="8161" t="s">
        <v>2790</v>
      </c>
      <c r="D140" s="8161" t="s">
        <v>2791</v>
      </c>
      <c r="E140" s="8161" t="s">
        <v>2792</v>
      </c>
      <c r="F140" s="8161" t="s">
        <v>2793</v>
      </c>
      <c r="G140" s="8161" t="s">
        <v>24</v>
      </c>
      <c r="H140" s="8161" t="s">
        <v>2794</v>
      </c>
      <c r="I140" s="8161" t="s">
        <v>828</v>
      </c>
    </row>
    <row customHeight="1" ht="11.25">
      <c r="A141" s="8161" t="s">
        <v>2279</v>
      </c>
      <c r="B141" s="8161" t="s">
        <v>14</v>
      </c>
      <c r="C141" s="8161" t="s">
        <v>2795</v>
      </c>
      <c r="D141" s="8161" t="s">
        <v>2796</v>
      </c>
      <c r="E141" s="8161" t="s">
        <v>2797</v>
      </c>
      <c r="F141" s="8161" t="s">
        <v>2798</v>
      </c>
      <c r="G141" s="8161" t="s">
        <v>24</v>
      </c>
      <c r="H141" s="8161" t="s">
        <v>24</v>
      </c>
      <c r="I141" s="8161" t="s">
        <v>828</v>
      </c>
    </row>
    <row customHeight="1" ht="11.25">
      <c r="A142" s="8161" t="s">
        <v>2279</v>
      </c>
      <c r="B142" s="8161" t="s">
        <v>14</v>
      </c>
      <c r="C142" s="8161" t="s">
        <v>2799</v>
      </c>
      <c r="D142" s="8161" t="s">
        <v>2800</v>
      </c>
      <c r="E142" s="8161" t="s">
        <v>2801</v>
      </c>
      <c r="F142" s="8161" t="s">
        <v>2287</v>
      </c>
      <c r="G142" s="8161" t="s">
        <v>24</v>
      </c>
      <c r="H142" s="8161" t="s">
        <v>24</v>
      </c>
      <c r="I142" s="8161" t="s">
        <v>828</v>
      </c>
    </row>
    <row customHeight="1" ht="11.25">
      <c r="A143" s="8161" t="s">
        <v>2279</v>
      </c>
      <c r="B143" s="8161" t="s">
        <v>14</v>
      </c>
      <c r="C143" s="8161" t="s">
        <v>2802</v>
      </c>
      <c r="D143" s="8161" t="s">
        <v>2803</v>
      </c>
      <c r="E143" s="8161" t="s">
        <v>2396</v>
      </c>
      <c r="F143" s="8161" t="s">
        <v>2804</v>
      </c>
      <c r="G143" s="8161" t="s">
        <v>24</v>
      </c>
      <c r="H143" s="8161" t="s">
        <v>24</v>
      </c>
      <c r="I143" s="8161" t="s">
        <v>828</v>
      </c>
    </row>
    <row customHeight="1" ht="11.25">
      <c r="A144" s="8161" t="s">
        <v>2279</v>
      </c>
      <c r="B144" s="8161" t="s">
        <v>14</v>
      </c>
      <c r="C144" s="8161" t="s">
        <v>2805</v>
      </c>
      <c r="D144" s="8161" t="s">
        <v>2806</v>
      </c>
      <c r="E144" s="8161" t="s">
        <v>2807</v>
      </c>
      <c r="F144" s="8161" t="s">
        <v>2339</v>
      </c>
      <c r="G144" s="8161" t="s">
        <v>24</v>
      </c>
      <c r="H144" s="8161" t="s">
        <v>2371</v>
      </c>
      <c r="I144" s="8161" t="s">
        <v>828</v>
      </c>
    </row>
    <row customHeight="1" ht="11.25">
      <c r="A145" s="8161" t="s">
        <v>2279</v>
      </c>
      <c r="B145" s="8161" t="s">
        <v>14</v>
      </c>
      <c r="C145" s="8161" t="s">
        <v>2808</v>
      </c>
      <c r="D145" s="8161" t="s">
        <v>2809</v>
      </c>
      <c r="E145" s="8161" t="s">
        <v>2810</v>
      </c>
      <c r="F145" s="8161" t="s">
        <v>2448</v>
      </c>
      <c r="G145" s="8161" t="s">
        <v>24</v>
      </c>
      <c r="H145" s="8161" t="s">
        <v>24</v>
      </c>
      <c r="I145" s="8161" t="s">
        <v>828</v>
      </c>
    </row>
    <row customHeight="1" ht="11.25">
      <c r="A146" s="8161" t="s">
        <v>2279</v>
      </c>
      <c r="B146" s="8161" t="s">
        <v>14</v>
      </c>
      <c r="C146" s="8161" t="s">
        <v>2811</v>
      </c>
      <c r="D146" s="8161" t="s">
        <v>2812</v>
      </c>
      <c r="E146" s="8161" t="s">
        <v>2813</v>
      </c>
      <c r="F146" s="8161" t="s">
        <v>2814</v>
      </c>
      <c r="G146" s="8161" t="s">
        <v>2815</v>
      </c>
      <c r="H146" s="8161" t="s">
        <v>24</v>
      </c>
      <c r="I146" s="8161" t="s">
        <v>828</v>
      </c>
    </row>
    <row customHeight="1" ht="11.25">
      <c r="A147" s="8161" t="s">
        <v>2279</v>
      </c>
      <c r="B147" s="8161" t="s">
        <v>14</v>
      </c>
      <c r="C147" s="8161" t="s">
        <v>2816</v>
      </c>
      <c r="D147" s="8161" t="s">
        <v>2817</v>
      </c>
      <c r="E147" s="8161" t="s">
        <v>2818</v>
      </c>
      <c r="F147" s="8161" t="s">
        <v>2448</v>
      </c>
      <c r="G147" s="8161" t="s">
        <v>24</v>
      </c>
      <c r="H147" s="8161" t="s">
        <v>24</v>
      </c>
      <c r="I147" s="8161" t="s">
        <v>828</v>
      </c>
    </row>
    <row customHeight="1" ht="11.25">
      <c r="A148" s="8161" t="s">
        <v>2279</v>
      </c>
      <c r="B148" s="8161" t="s">
        <v>14</v>
      </c>
      <c r="C148" s="8161" t="s">
        <v>2819</v>
      </c>
      <c r="D148" s="8161" t="s">
        <v>2820</v>
      </c>
      <c r="E148" s="8161" t="s">
        <v>2821</v>
      </c>
      <c r="F148" s="8161" t="s">
        <v>2339</v>
      </c>
      <c r="G148" s="8161" t="s">
        <v>24</v>
      </c>
      <c r="H148" s="8161" t="s">
        <v>2822</v>
      </c>
      <c r="I148" s="8161" t="s">
        <v>828</v>
      </c>
    </row>
    <row customHeight="1" ht="11.25">
      <c r="A149" s="8161" t="s">
        <v>2279</v>
      </c>
      <c r="B149" s="8161" t="s">
        <v>14</v>
      </c>
      <c r="C149" s="8161" t="s">
        <v>2823</v>
      </c>
      <c r="D149" s="8161" t="s">
        <v>2824</v>
      </c>
      <c r="E149" s="8161" t="s">
        <v>2825</v>
      </c>
      <c r="F149" s="8161" t="s">
        <v>48</v>
      </c>
      <c r="G149" s="8161" t="s">
        <v>24</v>
      </c>
      <c r="H149" s="8161" t="s">
        <v>24</v>
      </c>
      <c r="I149" s="8161" t="s">
        <v>828</v>
      </c>
    </row>
    <row customHeight="1" ht="11.25">
      <c r="A150" s="8161" t="s">
        <v>2279</v>
      </c>
      <c r="B150" s="8161" t="s">
        <v>14</v>
      </c>
      <c r="C150" s="8161" t="s">
        <v>2826</v>
      </c>
      <c r="D150" s="8161" t="s">
        <v>2827</v>
      </c>
      <c r="E150" s="8161" t="s">
        <v>2828</v>
      </c>
      <c r="F150" s="8161" t="s">
        <v>2438</v>
      </c>
      <c r="G150" s="8161" t="s">
        <v>24</v>
      </c>
      <c r="H150" s="8161" t="s">
        <v>24</v>
      </c>
      <c r="I150" s="8161" t="s">
        <v>828</v>
      </c>
    </row>
    <row customHeight="1" ht="11.25">
      <c r="A151" s="8161" t="s">
        <v>2279</v>
      </c>
      <c r="B151" s="8161" t="s">
        <v>14</v>
      </c>
      <c r="C151" s="8161" t="s">
        <v>2829</v>
      </c>
      <c r="D151" s="8161" t="s">
        <v>2830</v>
      </c>
      <c r="E151" s="8161" t="s">
        <v>2831</v>
      </c>
      <c r="F151" s="8161" t="s">
        <v>2448</v>
      </c>
      <c r="G151" s="8161" t="s">
        <v>24</v>
      </c>
      <c r="H151" s="8161" t="s">
        <v>2284</v>
      </c>
      <c r="I151" s="8161" t="s">
        <v>828</v>
      </c>
    </row>
    <row customHeight="1" ht="11.25">
      <c r="A152" s="8161" t="s">
        <v>2279</v>
      </c>
      <c r="B152" s="8161" t="s">
        <v>14</v>
      </c>
      <c r="C152" s="8161" t="s">
        <v>2832</v>
      </c>
      <c r="D152" s="8161" t="s">
        <v>2833</v>
      </c>
      <c r="E152" s="8161" t="s">
        <v>2834</v>
      </c>
      <c r="F152" s="8161" t="s">
        <v>2339</v>
      </c>
      <c r="G152" s="8161" t="s">
        <v>24</v>
      </c>
      <c r="H152" s="8161" t="s">
        <v>2457</v>
      </c>
      <c r="I152" s="8161" t="s">
        <v>828</v>
      </c>
    </row>
    <row customHeight="1" ht="11.25">
      <c r="A153" s="8161" t="s">
        <v>2279</v>
      </c>
      <c r="B153" s="8161" t="s">
        <v>14</v>
      </c>
      <c r="C153" s="8161" t="s">
        <v>2835</v>
      </c>
      <c r="D153" s="8161" t="s">
        <v>2836</v>
      </c>
      <c r="E153" s="8161" t="s">
        <v>2837</v>
      </c>
      <c r="F153" s="8161" t="s">
        <v>2468</v>
      </c>
      <c r="G153" s="8161" t="s">
        <v>24</v>
      </c>
      <c r="H153" s="8161" t="s">
        <v>2838</v>
      </c>
      <c r="I153" s="8161" t="s">
        <v>828</v>
      </c>
    </row>
    <row customHeight="1" ht="11.25">
      <c r="A154" s="8161" t="s">
        <v>2279</v>
      </c>
      <c r="B154" s="8161" t="s">
        <v>14</v>
      </c>
      <c r="C154" s="8161" t="s">
        <v>2839</v>
      </c>
      <c r="D154" s="8161" t="s">
        <v>2840</v>
      </c>
      <c r="E154" s="8161" t="s">
        <v>2841</v>
      </c>
      <c r="F154" s="8161" t="s">
        <v>2300</v>
      </c>
      <c r="G154" s="8161" t="s">
        <v>24</v>
      </c>
      <c r="H154" s="8161" t="s">
        <v>24</v>
      </c>
      <c r="I154" s="8161" t="s">
        <v>828</v>
      </c>
    </row>
    <row customHeight="1" ht="11.25">
      <c r="A155" s="8161" t="s">
        <v>2279</v>
      </c>
      <c r="B155" s="8161" t="s">
        <v>14</v>
      </c>
      <c r="C155" s="8161" t="s">
        <v>2842</v>
      </c>
      <c r="D155" s="8161" t="s">
        <v>2843</v>
      </c>
      <c r="E155" s="8161" t="s">
        <v>2844</v>
      </c>
      <c r="F155" s="8161" t="s">
        <v>2468</v>
      </c>
      <c r="G155" s="8161" t="s">
        <v>24</v>
      </c>
      <c r="H155" s="8161" t="s">
        <v>24</v>
      </c>
      <c r="I155" s="8161" t="s">
        <v>828</v>
      </c>
    </row>
    <row customHeight="1" ht="11.25">
      <c r="A156" s="8161" t="s">
        <v>2279</v>
      </c>
      <c r="B156" s="8161" t="s">
        <v>14</v>
      </c>
      <c r="C156" s="8161" t="s">
        <v>2845</v>
      </c>
      <c r="D156" s="8161" t="s">
        <v>2846</v>
      </c>
      <c r="E156" s="8161" t="s">
        <v>2847</v>
      </c>
      <c r="F156" s="8161" t="s">
        <v>2359</v>
      </c>
      <c r="G156" s="8161" t="s">
        <v>24</v>
      </c>
      <c r="H156" s="8161" t="s">
        <v>24</v>
      </c>
      <c r="I156" s="8161" t="s">
        <v>828</v>
      </c>
    </row>
    <row customHeight="1" ht="11.25">
      <c r="A157" s="8161" t="s">
        <v>2279</v>
      </c>
      <c r="B157" s="8161" t="s">
        <v>14</v>
      </c>
      <c r="C157" s="8161" t="s">
        <v>2848</v>
      </c>
      <c r="D157" s="8161" t="s">
        <v>2849</v>
      </c>
      <c r="E157" s="8161" t="s">
        <v>2850</v>
      </c>
      <c r="F157" s="8161" t="s">
        <v>2339</v>
      </c>
      <c r="G157" s="8161" t="s">
        <v>24</v>
      </c>
      <c r="H157" s="8161" t="s">
        <v>24</v>
      </c>
      <c r="I157" s="8161" t="s">
        <v>828</v>
      </c>
    </row>
    <row customHeight="1" ht="11.25">
      <c r="A158" s="8161" t="s">
        <v>2279</v>
      </c>
      <c r="B158" s="8161" t="s">
        <v>14</v>
      </c>
      <c r="C158" s="8161" t="s">
        <v>2851</v>
      </c>
      <c r="D158" s="8161" t="s">
        <v>2852</v>
      </c>
      <c r="E158" s="8161" t="s">
        <v>2853</v>
      </c>
      <c r="F158" s="8161" t="s">
        <v>48</v>
      </c>
      <c r="G158" s="8161" t="s">
        <v>24</v>
      </c>
      <c r="H158" s="8161" t="s">
        <v>24</v>
      </c>
      <c r="I158" s="8161" t="s">
        <v>828</v>
      </c>
    </row>
    <row customHeight="1" ht="11.25">
      <c r="A159" s="8161" t="s">
        <v>2279</v>
      </c>
      <c r="B159" s="8161" t="s">
        <v>14</v>
      </c>
      <c r="C159" s="8161" t="s">
        <v>2854</v>
      </c>
      <c r="D159" s="8161" t="s">
        <v>2855</v>
      </c>
      <c r="E159" s="8161" t="s">
        <v>2856</v>
      </c>
      <c r="F159" s="8161" t="s">
        <v>2339</v>
      </c>
      <c r="G159" s="8161" t="s">
        <v>24</v>
      </c>
      <c r="H159" s="8161" t="s">
        <v>24</v>
      </c>
      <c r="I159" s="8161" t="s">
        <v>828</v>
      </c>
    </row>
    <row customHeight="1" ht="11.25">
      <c r="A160" s="8161" t="s">
        <v>2279</v>
      </c>
      <c r="B160" s="8161" t="s">
        <v>14</v>
      </c>
      <c r="C160" s="8161" t="s">
        <v>2857</v>
      </c>
      <c r="D160" s="8161" t="s">
        <v>2858</v>
      </c>
      <c r="E160" s="8161" t="s">
        <v>2859</v>
      </c>
      <c r="F160" s="8161" t="s">
        <v>2339</v>
      </c>
      <c r="G160" s="8161" t="s">
        <v>24</v>
      </c>
      <c r="H160" s="8161" t="s">
        <v>24</v>
      </c>
      <c r="I160" s="8161" t="s">
        <v>828</v>
      </c>
    </row>
    <row customHeight="1" ht="11.25">
      <c r="A161" s="8161" t="s">
        <v>2279</v>
      </c>
      <c r="B161" s="8161" t="s">
        <v>14</v>
      </c>
      <c r="C161" s="8161" t="s">
        <v>2860</v>
      </c>
      <c r="D161" s="8161" t="s">
        <v>2861</v>
      </c>
      <c r="E161" s="8161" t="s">
        <v>2862</v>
      </c>
      <c r="F161" s="8161" t="s">
        <v>2448</v>
      </c>
      <c r="G161" s="8161" t="s">
        <v>24</v>
      </c>
      <c r="H161" s="8161" t="s">
        <v>24</v>
      </c>
      <c r="I161" s="8161" t="s">
        <v>828</v>
      </c>
    </row>
    <row customHeight="1" ht="11.25">
      <c r="A162" s="8161" t="s">
        <v>2279</v>
      </c>
      <c r="B162" s="8161" t="s">
        <v>14</v>
      </c>
      <c r="C162" s="8161" t="s">
        <v>2863</v>
      </c>
      <c r="D162" s="8161" t="s">
        <v>2864</v>
      </c>
      <c r="E162" s="8161" t="s">
        <v>2865</v>
      </c>
      <c r="F162" s="8161" t="s">
        <v>2866</v>
      </c>
      <c r="G162" s="8161" t="s">
        <v>24</v>
      </c>
      <c r="H162" s="8161" t="s">
        <v>24</v>
      </c>
      <c r="I162" s="8161" t="s">
        <v>828</v>
      </c>
    </row>
    <row customHeight="1" ht="11.25">
      <c r="A163" s="8161" t="s">
        <v>2279</v>
      </c>
      <c r="B163" s="8161" t="s">
        <v>14</v>
      </c>
      <c r="C163" s="8161" t="s">
        <v>2867</v>
      </c>
      <c r="D163" s="8161" t="s">
        <v>2868</v>
      </c>
      <c r="E163" s="8161" t="s">
        <v>2869</v>
      </c>
      <c r="F163" s="8161" t="s">
        <v>2616</v>
      </c>
      <c r="G163" s="8161" t="s">
        <v>24</v>
      </c>
      <c r="H163" s="8161" t="s">
        <v>2284</v>
      </c>
      <c r="I163" s="8161" t="s">
        <v>828</v>
      </c>
    </row>
    <row customHeight="1" ht="11.25">
      <c r="A164" s="8161" t="s">
        <v>2279</v>
      </c>
      <c r="B164" s="8161" t="s">
        <v>14</v>
      </c>
      <c r="C164" s="8161" t="s">
        <v>2870</v>
      </c>
      <c r="D164" s="8161" t="s">
        <v>2871</v>
      </c>
      <c r="E164" s="8161" t="s">
        <v>2872</v>
      </c>
      <c r="F164" s="8161" t="s">
        <v>2873</v>
      </c>
      <c r="G164" s="8161" t="s">
        <v>24</v>
      </c>
      <c r="H164" s="8161" t="s">
        <v>24</v>
      </c>
      <c r="I164" s="8161" t="s">
        <v>828</v>
      </c>
    </row>
    <row customHeight="1" ht="11.25">
      <c r="A165" s="8161" t="s">
        <v>2279</v>
      </c>
      <c r="B165" s="8161" t="s">
        <v>14</v>
      </c>
      <c r="C165" s="8161" t="s">
        <v>2874</v>
      </c>
      <c r="D165" s="8161" t="s">
        <v>2875</v>
      </c>
      <c r="E165" s="8161" t="s">
        <v>2876</v>
      </c>
      <c r="F165" s="8161" t="s">
        <v>2283</v>
      </c>
      <c r="G165" s="8161" t="s">
        <v>24</v>
      </c>
      <c r="H165" s="8161" t="s">
        <v>24</v>
      </c>
      <c r="I165" s="8161" t="s">
        <v>828</v>
      </c>
    </row>
    <row customHeight="1" ht="11.25">
      <c r="A166" s="8161" t="s">
        <v>2279</v>
      </c>
      <c r="B166" s="8161" t="s">
        <v>14</v>
      </c>
      <c r="C166" s="8161" t="s">
        <v>2877</v>
      </c>
      <c r="D166" s="8161" t="s">
        <v>2878</v>
      </c>
      <c r="E166" s="8161" t="s">
        <v>2879</v>
      </c>
      <c r="F166" s="8161" t="s">
        <v>2335</v>
      </c>
      <c r="G166" s="8161" t="s">
        <v>24</v>
      </c>
      <c r="H166" s="8161" t="s">
        <v>24</v>
      </c>
      <c r="I166" s="8161" t="s">
        <v>828</v>
      </c>
    </row>
    <row customHeight="1" ht="11.25">
      <c r="A167" s="8161" t="s">
        <v>2279</v>
      </c>
      <c r="B167" s="8161" t="s">
        <v>14</v>
      </c>
      <c r="C167" s="8161" t="s">
        <v>24</v>
      </c>
      <c r="D167" s="8161" t="s">
        <v>2285</v>
      </c>
      <c r="E167" s="8161" t="s">
        <v>2286</v>
      </c>
      <c r="F167" s="8161" t="s">
        <v>2287</v>
      </c>
      <c r="G167" s="8161" t="s">
        <v>24</v>
      </c>
      <c r="H167" s="8161" t="s">
        <v>24</v>
      </c>
      <c r="I167" s="8161" t="s">
        <v>915</v>
      </c>
    </row>
    <row customHeight="1" ht="11.25">
      <c r="A168" s="8161" t="s">
        <v>2279</v>
      </c>
      <c r="B168" s="8161" t="s">
        <v>14</v>
      </c>
      <c r="C168" s="8161" t="s">
        <v>2301</v>
      </c>
      <c r="D168" s="8161" t="s">
        <v>2302</v>
      </c>
      <c r="E168" s="8161" t="s">
        <v>2303</v>
      </c>
      <c r="F168" s="8161" t="s">
        <v>2304</v>
      </c>
      <c r="G168" s="8161" t="s">
        <v>24</v>
      </c>
      <c r="H168" s="8161" t="s">
        <v>2305</v>
      </c>
      <c r="I168" s="8161" t="s">
        <v>915</v>
      </c>
    </row>
    <row customHeight="1" ht="11.25">
      <c r="A169" s="8161" t="s">
        <v>2279</v>
      </c>
      <c r="B169" s="8161" t="s">
        <v>14</v>
      </c>
      <c r="C169" s="8161" t="s">
        <v>2312</v>
      </c>
      <c r="D169" s="8161" t="s">
        <v>2313</v>
      </c>
      <c r="E169" s="8161" t="s">
        <v>2314</v>
      </c>
      <c r="F169" s="8161" t="s">
        <v>2315</v>
      </c>
      <c r="G169" s="8161" t="s">
        <v>24</v>
      </c>
      <c r="H169" s="8161" t="s">
        <v>24</v>
      </c>
      <c r="I169" s="8161" t="s">
        <v>915</v>
      </c>
    </row>
    <row customHeight="1" ht="11.25">
      <c r="A170" s="8161" t="s">
        <v>2279</v>
      </c>
      <c r="B170" s="8161" t="s">
        <v>14</v>
      </c>
      <c r="C170" s="8161" t="s">
        <v>2316</v>
      </c>
      <c r="D170" s="8161" t="s">
        <v>2317</v>
      </c>
      <c r="E170" s="8161" t="s">
        <v>2318</v>
      </c>
      <c r="F170" s="8161" t="s">
        <v>2319</v>
      </c>
      <c r="G170" s="8161" t="s">
        <v>24</v>
      </c>
      <c r="H170" s="8161" t="s">
        <v>24</v>
      </c>
      <c r="I170" s="8161" t="s">
        <v>915</v>
      </c>
    </row>
    <row customHeight="1" ht="11.25">
      <c r="A171" s="8161" t="s">
        <v>2279</v>
      </c>
      <c r="B171" s="8161" t="s">
        <v>14</v>
      </c>
      <c r="C171" s="8161" t="s">
        <v>2323</v>
      </c>
      <c r="D171" s="8161" t="s">
        <v>2324</v>
      </c>
      <c r="E171" s="8161" t="s">
        <v>2318</v>
      </c>
      <c r="F171" s="8161" t="s">
        <v>2325</v>
      </c>
      <c r="G171" s="8161" t="s">
        <v>24</v>
      </c>
      <c r="H171" s="8161" t="s">
        <v>24</v>
      </c>
      <c r="I171" s="8161" t="s">
        <v>915</v>
      </c>
    </row>
    <row customHeight="1" ht="11.25">
      <c r="A172" s="8161" t="s">
        <v>2279</v>
      </c>
      <c r="B172" s="8161" t="s">
        <v>14</v>
      </c>
      <c r="C172" s="8161" t="s">
        <v>2326</v>
      </c>
      <c r="D172" s="8161" t="s">
        <v>2327</v>
      </c>
      <c r="E172" s="8161" t="s">
        <v>2318</v>
      </c>
      <c r="F172" s="8161" t="s">
        <v>2328</v>
      </c>
      <c r="G172" s="8161" t="s">
        <v>24</v>
      </c>
      <c r="H172" s="8161" t="s">
        <v>24</v>
      </c>
      <c r="I172" s="8161" t="s">
        <v>915</v>
      </c>
    </row>
    <row customHeight="1" ht="11.25">
      <c r="A173" s="8161" t="s">
        <v>2279</v>
      </c>
      <c r="B173" s="8161" t="s">
        <v>14</v>
      </c>
      <c r="C173" s="8161" t="s">
        <v>2332</v>
      </c>
      <c r="D173" s="8161" t="s">
        <v>2333</v>
      </c>
      <c r="E173" s="8161" t="s">
        <v>2334</v>
      </c>
      <c r="F173" s="8161" t="s">
        <v>2335</v>
      </c>
      <c r="G173" s="8161" t="s">
        <v>24</v>
      </c>
      <c r="H173" s="8161" t="s">
        <v>24</v>
      </c>
      <c r="I173" s="8161" t="s">
        <v>915</v>
      </c>
    </row>
    <row customHeight="1" ht="11.25">
      <c r="A174" s="8161" t="s">
        <v>2279</v>
      </c>
      <c r="B174" s="8161" t="s">
        <v>14</v>
      </c>
      <c r="C174" s="8161" t="s">
        <v>2356</v>
      </c>
      <c r="D174" s="8161" t="s">
        <v>2357</v>
      </c>
      <c r="E174" s="8161" t="s">
        <v>2358</v>
      </c>
      <c r="F174" s="8161" t="s">
        <v>2359</v>
      </c>
      <c r="G174" s="8161" t="s">
        <v>2360</v>
      </c>
      <c r="H174" s="8161" t="s">
        <v>24</v>
      </c>
      <c r="I174" s="8161" t="s">
        <v>915</v>
      </c>
    </row>
    <row customHeight="1" ht="11.25">
      <c r="A175" s="8161" t="s">
        <v>2279</v>
      </c>
      <c r="B175" s="8161" t="s">
        <v>14</v>
      </c>
      <c r="C175" s="8161" t="s">
        <v>2361</v>
      </c>
      <c r="D175" s="8161" t="s">
        <v>2362</v>
      </c>
      <c r="E175" s="8161" t="s">
        <v>2363</v>
      </c>
      <c r="F175" s="8161" t="s">
        <v>2283</v>
      </c>
      <c r="G175" s="8161" t="s">
        <v>24</v>
      </c>
      <c r="H175" s="8161" t="s">
        <v>24</v>
      </c>
      <c r="I175" s="8161" t="s">
        <v>915</v>
      </c>
    </row>
    <row customHeight="1" ht="11.25">
      <c r="A176" s="8161" t="s">
        <v>2279</v>
      </c>
      <c r="B176" s="8161" t="s">
        <v>14</v>
      </c>
      <c r="C176" s="8161" t="s">
        <v>2368</v>
      </c>
      <c r="D176" s="8161" t="s">
        <v>2369</v>
      </c>
      <c r="E176" s="8161" t="s">
        <v>2370</v>
      </c>
      <c r="F176" s="8161" t="s">
        <v>2339</v>
      </c>
      <c r="G176" s="8161" t="s">
        <v>2371</v>
      </c>
      <c r="H176" s="8161" t="s">
        <v>24</v>
      </c>
      <c r="I176" s="8161" t="s">
        <v>915</v>
      </c>
    </row>
    <row customHeight="1" ht="11.25">
      <c r="A177" s="8161" t="s">
        <v>2279</v>
      </c>
      <c r="B177" s="8161" t="s">
        <v>14</v>
      </c>
      <c r="C177" s="8161" t="s">
        <v>2380</v>
      </c>
      <c r="D177" s="8161" t="s">
        <v>2381</v>
      </c>
      <c r="E177" s="8161" t="s">
        <v>2382</v>
      </c>
      <c r="F177" s="8161" t="s">
        <v>2383</v>
      </c>
      <c r="G177" s="8161" t="s">
        <v>24</v>
      </c>
      <c r="H177" s="8161" t="s">
        <v>24</v>
      </c>
      <c r="I177" s="8161" t="s">
        <v>915</v>
      </c>
    </row>
    <row customHeight="1" ht="11.25">
      <c r="A178" s="8161" t="s">
        <v>2279</v>
      </c>
      <c r="B178" s="8161" t="s">
        <v>14</v>
      </c>
      <c r="C178" s="8161" t="s">
        <v>2398</v>
      </c>
      <c r="D178" s="8161" t="s">
        <v>2399</v>
      </c>
      <c r="E178" s="8161" t="s">
        <v>2396</v>
      </c>
      <c r="F178" s="8161" t="s">
        <v>2400</v>
      </c>
      <c r="G178" s="8161" t="s">
        <v>24</v>
      </c>
      <c r="H178" s="8161" t="s">
        <v>24</v>
      </c>
      <c r="I178" s="8161" t="s">
        <v>915</v>
      </c>
    </row>
    <row customHeight="1" ht="11.25">
      <c r="A179" s="8161" t="s">
        <v>2279</v>
      </c>
      <c r="B179" s="8161" t="s">
        <v>14</v>
      </c>
      <c r="C179" s="8161" t="s">
        <v>2880</v>
      </c>
      <c r="D179" s="8161" t="s">
        <v>43</v>
      </c>
      <c r="E179" s="8161" t="s">
        <v>46</v>
      </c>
      <c r="F179" s="8161" t="s">
        <v>2881</v>
      </c>
      <c r="G179" s="8161" t="s">
        <v>24</v>
      </c>
      <c r="H179" s="8161" t="s">
        <v>24</v>
      </c>
      <c r="I179" s="8161" t="s">
        <v>915</v>
      </c>
    </row>
    <row customHeight="1" ht="11.25">
      <c r="A180" s="8161" t="s">
        <v>2279</v>
      </c>
      <c r="B180" s="8161" t="s">
        <v>14</v>
      </c>
      <c r="C180" s="8161" t="s">
        <v>2882</v>
      </c>
      <c r="D180" s="8161" t="s">
        <v>43</v>
      </c>
      <c r="E180" s="8161" t="s">
        <v>46</v>
      </c>
      <c r="F180" s="8161" t="s">
        <v>2883</v>
      </c>
      <c r="G180" s="8161" t="s">
        <v>24</v>
      </c>
      <c r="H180" s="8161" t="s">
        <v>24</v>
      </c>
      <c r="I180" s="8161" t="s">
        <v>915</v>
      </c>
    </row>
    <row customHeight="1" ht="11.25">
      <c r="A181" s="8161" t="s">
        <v>2279</v>
      </c>
      <c r="B181" s="8161" t="s">
        <v>14</v>
      </c>
      <c r="C181" s="8161" t="s">
        <v>2884</v>
      </c>
      <c r="D181" s="8161" t="s">
        <v>43</v>
      </c>
      <c r="E181" s="8161" t="s">
        <v>46</v>
      </c>
      <c r="F181" s="8161" t="s">
        <v>2885</v>
      </c>
      <c r="G181" s="8161" t="s">
        <v>24</v>
      </c>
      <c r="H181" s="8161" t="s">
        <v>24</v>
      </c>
      <c r="I181" s="8161" t="s">
        <v>915</v>
      </c>
    </row>
    <row customHeight="1" ht="11.25">
      <c r="A182" s="8161" t="s">
        <v>2279</v>
      </c>
      <c r="B182" s="8161" t="s">
        <v>14</v>
      </c>
      <c r="C182" s="8161" t="s">
        <v>2886</v>
      </c>
      <c r="D182" s="8161" t="s">
        <v>43</v>
      </c>
      <c r="E182" s="8161" t="s">
        <v>46</v>
      </c>
      <c r="F182" s="8161" t="s">
        <v>2887</v>
      </c>
      <c r="G182" s="8161" t="s">
        <v>24</v>
      </c>
      <c r="H182" s="8161" t="s">
        <v>24</v>
      </c>
      <c r="I182" s="8161" t="s">
        <v>915</v>
      </c>
    </row>
    <row customHeight="1" ht="11.25">
      <c r="A183" s="8161" t="s">
        <v>2279</v>
      </c>
      <c r="B183" s="8161" t="s">
        <v>14</v>
      </c>
      <c r="C183" s="8161" t="s">
        <v>2888</v>
      </c>
      <c r="D183" s="8161" t="s">
        <v>43</v>
      </c>
      <c r="E183" s="8161" t="s">
        <v>46</v>
      </c>
      <c r="F183" s="8161" t="s">
        <v>2889</v>
      </c>
      <c r="G183" s="8161" t="s">
        <v>24</v>
      </c>
      <c r="H183" s="8161" t="s">
        <v>24</v>
      </c>
      <c r="I183" s="8161" t="s">
        <v>915</v>
      </c>
    </row>
    <row customHeight="1" ht="11.25">
      <c r="A184" s="8161" t="s">
        <v>2279</v>
      </c>
      <c r="B184" s="8161" t="s">
        <v>14</v>
      </c>
      <c r="C184" s="8161" t="s">
        <v>2890</v>
      </c>
      <c r="D184" s="8161" t="s">
        <v>43</v>
      </c>
      <c r="E184" s="8161" t="s">
        <v>46</v>
      </c>
      <c r="F184" s="8161" t="s">
        <v>2891</v>
      </c>
      <c r="G184" s="8161" t="s">
        <v>24</v>
      </c>
      <c r="H184" s="8161" t="s">
        <v>24</v>
      </c>
      <c r="I184" s="8161" t="s">
        <v>915</v>
      </c>
    </row>
    <row customHeight="1" ht="11.25">
      <c r="A185" s="8161" t="s">
        <v>2279</v>
      </c>
      <c r="B185" s="8161" t="s">
        <v>14</v>
      </c>
      <c r="C185" s="8161" t="s">
        <v>2892</v>
      </c>
      <c r="D185" s="8161" t="s">
        <v>43</v>
      </c>
      <c r="E185" s="8161" t="s">
        <v>46</v>
      </c>
      <c r="F185" s="8161" t="s">
        <v>2893</v>
      </c>
      <c r="G185" s="8161" t="s">
        <v>24</v>
      </c>
      <c r="H185" s="8161" t="s">
        <v>24</v>
      </c>
      <c r="I185" s="8161" t="s">
        <v>915</v>
      </c>
    </row>
    <row customHeight="1" ht="11.25">
      <c r="A186" s="8161" t="s">
        <v>2279</v>
      </c>
      <c r="B186" s="8161" t="s">
        <v>14</v>
      </c>
      <c r="C186" s="8161" t="s">
        <v>2894</v>
      </c>
      <c r="D186" s="8161" t="s">
        <v>43</v>
      </c>
      <c r="E186" s="8161" t="s">
        <v>46</v>
      </c>
      <c r="F186" s="8161" t="s">
        <v>2895</v>
      </c>
      <c r="G186" s="8161" t="s">
        <v>24</v>
      </c>
      <c r="H186" s="8161" t="s">
        <v>24</v>
      </c>
      <c r="I186" s="8161" t="s">
        <v>915</v>
      </c>
    </row>
    <row customHeight="1" ht="11.25">
      <c r="A187" s="8161" t="s">
        <v>2279</v>
      </c>
      <c r="B187" s="8161" t="s">
        <v>14</v>
      </c>
      <c r="C187" s="8161" t="s">
        <v>2453</v>
      </c>
      <c r="D187" s="8161" t="s">
        <v>43</v>
      </c>
      <c r="E187" s="8161" t="s">
        <v>46</v>
      </c>
      <c r="F187" s="8161" t="s">
        <v>48</v>
      </c>
      <c r="G187" s="8161" t="s">
        <v>24</v>
      </c>
      <c r="H187" s="8161" t="s">
        <v>24</v>
      </c>
      <c r="I187" s="8161" t="s">
        <v>915</v>
      </c>
    </row>
    <row customHeight="1" ht="11.25">
      <c r="A188" s="8161" t="s">
        <v>2279</v>
      </c>
      <c r="B188" s="8161" t="s">
        <v>14</v>
      </c>
      <c r="C188" s="8161" t="s">
        <v>2458</v>
      </c>
      <c r="D188" s="8161" t="s">
        <v>2455</v>
      </c>
      <c r="E188" s="8161" t="s">
        <v>46</v>
      </c>
      <c r="F188" s="8161" t="s">
        <v>2459</v>
      </c>
      <c r="G188" s="8161" t="s">
        <v>24</v>
      </c>
      <c r="H188" s="8161" t="s">
        <v>2460</v>
      </c>
      <c r="I188" s="8161" t="s">
        <v>915</v>
      </c>
    </row>
    <row customHeight="1" ht="11.25">
      <c r="A189" s="8161" t="s">
        <v>2279</v>
      </c>
      <c r="B189" s="8161" t="s">
        <v>14</v>
      </c>
      <c r="C189" s="8161" t="s">
        <v>2896</v>
      </c>
      <c r="D189" s="8161" t="s">
        <v>2455</v>
      </c>
      <c r="E189" s="8161" t="s">
        <v>46</v>
      </c>
      <c r="F189" s="8161" t="s">
        <v>2897</v>
      </c>
      <c r="G189" s="8161" t="s">
        <v>24</v>
      </c>
      <c r="H189" s="8161" t="s">
        <v>24</v>
      </c>
      <c r="I189" s="8161" t="s">
        <v>915</v>
      </c>
    </row>
    <row customHeight="1" ht="11.25">
      <c r="A190" s="8161" t="s">
        <v>2279</v>
      </c>
      <c r="B190" s="8161" t="s">
        <v>14</v>
      </c>
      <c r="C190" s="8161" t="s">
        <v>2474</v>
      </c>
      <c r="D190" s="8161" t="s">
        <v>2475</v>
      </c>
      <c r="E190" s="8161" t="s">
        <v>2476</v>
      </c>
      <c r="F190" s="8161" t="s">
        <v>2283</v>
      </c>
      <c r="G190" s="8161" t="s">
        <v>24</v>
      </c>
      <c r="H190" s="8161" t="s">
        <v>24</v>
      </c>
      <c r="I190" s="8161" t="s">
        <v>915</v>
      </c>
    </row>
    <row customHeight="1" ht="11.25">
      <c r="A191" s="8161" t="s">
        <v>2279</v>
      </c>
      <c r="B191" s="8161" t="s">
        <v>14</v>
      </c>
      <c r="C191" s="8161" t="s">
        <v>2486</v>
      </c>
      <c r="D191" s="8161" t="s">
        <v>2482</v>
      </c>
      <c r="E191" s="8161" t="s">
        <v>2483</v>
      </c>
      <c r="F191" s="8161" t="s">
        <v>2484</v>
      </c>
      <c r="G191" s="8161" t="s">
        <v>24</v>
      </c>
      <c r="H191" s="8161" t="s">
        <v>24</v>
      </c>
      <c r="I191" s="8161" t="s">
        <v>915</v>
      </c>
    </row>
    <row customHeight="1" ht="11.25">
      <c r="A192" s="8161" t="s">
        <v>2279</v>
      </c>
      <c r="B192" s="8161" t="s">
        <v>14</v>
      </c>
      <c r="C192" s="8161" t="s">
        <v>2503</v>
      </c>
      <c r="D192" s="8161" t="s">
        <v>2504</v>
      </c>
      <c r="E192" s="8161" t="s">
        <v>2505</v>
      </c>
      <c r="F192" s="8161" t="s">
        <v>48</v>
      </c>
      <c r="G192" s="8161" t="s">
        <v>24</v>
      </c>
      <c r="H192" s="8161" t="s">
        <v>24</v>
      </c>
      <c r="I192" s="8161" t="s">
        <v>915</v>
      </c>
    </row>
    <row customHeight="1" ht="11.25">
      <c r="A193" s="8161" t="s">
        <v>2279</v>
      </c>
      <c r="B193" s="8161" t="s">
        <v>14</v>
      </c>
      <c r="C193" s="8161" t="s">
        <v>2898</v>
      </c>
      <c r="D193" s="8161" t="s">
        <v>2899</v>
      </c>
      <c r="E193" s="8161" t="s">
        <v>2318</v>
      </c>
      <c r="F193" s="8161" t="s">
        <v>2900</v>
      </c>
      <c r="G193" s="8161" t="s">
        <v>24</v>
      </c>
      <c r="H193" s="8161" t="s">
        <v>2457</v>
      </c>
      <c r="I193" s="8161" t="s">
        <v>915</v>
      </c>
    </row>
    <row customHeight="1" ht="11.25">
      <c r="A194" s="8161" t="s">
        <v>2279</v>
      </c>
      <c r="B194" s="8161" t="s">
        <v>14</v>
      </c>
      <c r="C194" s="8161" t="s">
        <v>2532</v>
      </c>
      <c r="D194" s="8161" t="s">
        <v>2533</v>
      </c>
      <c r="E194" s="8161" t="s">
        <v>2534</v>
      </c>
      <c r="F194" s="8161" t="s">
        <v>2339</v>
      </c>
      <c r="G194" s="8161" t="s">
        <v>24</v>
      </c>
      <c r="H194" s="8161" t="s">
        <v>24</v>
      </c>
      <c r="I194" s="8161" t="s">
        <v>915</v>
      </c>
    </row>
    <row customHeight="1" ht="11.25">
      <c r="A195" s="8161" t="s">
        <v>2279</v>
      </c>
      <c r="B195" s="8161" t="s">
        <v>14</v>
      </c>
      <c r="C195" s="8161" t="s">
        <v>2535</v>
      </c>
      <c r="D195" s="8161" t="s">
        <v>2536</v>
      </c>
      <c r="E195" s="8161" t="s">
        <v>2396</v>
      </c>
      <c r="F195" s="8161" t="s">
        <v>2537</v>
      </c>
      <c r="G195" s="8161" t="s">
        <v>24</v>
      </c>
      <c r="H195" s="8161" t="s">
        <v>24</v>
      </c>
      <c r="I195" s="8161" t="s">
        <v>915</v>
      </c>
    </row>
    <row customHeight="1" ht="11.25">
      <c r="A196" s="8161" t="s">
        <v>2279</v>
      </c>
      <c r="B196" s="8161" t="s">
        <v>14</v>
      </c>
      <c r="C196" s="8161" t="s">
        <v>2613</v>
      </c>
      <c r="D196" s="8161" t="s">
        <v>2614</v>
      </c>
      <c r="E196" s="8161" t="s">
        <v>2615</v>
      </c>
      <c r="F196" s="8161" t="s">
        <v>2616</v>
      </c>
      <c r="G196" s="8161" t="s">
        <v>2617</v>
      </c>
      <c r="H196" s="8161" t="s">
        <v>24</v>
      </c>
      <c r="I196" s="8161" t="s">
        <v>915</v>
      </c>
    </row>
    <row customHeight="1" ht="11.25">
      <c r="A197" s="8161" t="s">
        <v>2279</v>
      </c>
      <c r="B197" s="8161" t="s">
        <v>14</v>
      </c>
      <c r="C197" s="8161" t="s">
        <v>2645</v>
      </c>
      <c r="D197" s="8161" t="s">
        <v>2646</v>
      </c>
      <c r="E197" s="8161" t="s">
        <v>2647</v>
      </c>
      <c r="F197" s="8161" t="s">
        <v>2418</v>
      </c>
      <c r="G197" s="8161" t="s">
        <v>2648</v>
      </c>
      <c r="H197" s="8161" t="s">
        <v>2649</v>
      </c>
      <c r="I197" s="8161" t="s">
        <v>915</v>
      </c>
    </row>
    <row customHeight="1" ht="11.25">
      <c r="A198" s="8161" t="s">
        <v>2279</v>
      </c>
      <c r="B198" s="8161" t="s">
        <v>14</v>
      </c>
      <c r="C198" s="8161" t="s">
        <v>2901</v>
      </c>
      <c r="D198" s="8161" t="s">
        <v>2902</v>
      </c>
      <c r="E198" s="8161" t="s">
        <v>2903</v>
      </c>
      <c r="F198" s="8161" t="s">
        <v>2359</v>
      </c>
      <c r="G198" s="8161" t="s">
        <v>24</v>
      </c>
      <c r="H198" s="8161" t="s">
        <v>2457</v>
      </c>
      <c r="I198" s="8161" t="s">
        <v>915</v>
      </c>
    </row>
    <row customHeight="1" ht="11.25">
      <c r="A199" s="8161" t="s">
        <v>2279</v>
      </c>
      <c r="B199" s="8161" t="s">
        <v>14</v>
      </c>
      <c r="C199" s="8161" t="s">
        <v>2694</v>
      </c>
      <c r="D199" s="8161" t="s">
        <v>2695</v>
      </c>
      <c r="E199" s="8161" t="s">
        <v>2696</v>
      </c>
      <c r="F199" s="8161" t="s">
        <v>2697</v>
      </c>
      <c r="G199" s="8161" t="s">
        <v>24</v>
      </c>
      <c r="H199" s="8161" t="s">
        <v>2698</v>
      </c>
      <c r="I199" s="8161" t="s">
        <v>915</v>
      </c>
    </row>
    <row customHeight="1" ht="11.25">
      <c r="A200" s="8161" t="s">
        <v>2279</v>
      </c>
      <c r="B200" s="8161" t="s">
        <v>14</v>
      </c>
      <c r="C200" s="8161" t="s">
        <v>2724</v>
      </c>
      <c r="D200" s="8161" t="s">
        <v>2725</v>
      </c>
      <c r="E200" s="8161" t="s">
        <v>2726</v>
      </c>
      <c r="F200" s="8161" t="s">
        <v>2697</v>
      </c>
      <c r="G200" s="8161" t="s">
        <v>24</v>
      </c>
      <c r="H200" s="8161" t="s">
        <v>24</v>
      </c>
      <c r="I200" s="8161" t="s">
        <v>915</v>
      </c>
    </row>
    <row customHeight="1" ht="11.25">
      <c r="A201" s="8161" t="s">
        <v>2279</v>
      </c>
      <c r="B201" s="8161" t="s">
        <v>14</v>
      </c>
      <c r="C201" s="8161" t="s">
        <v>2799</v>
      </c>
      <c r="D201" s="8161" t="s">
        <v>2800</v>
      </c>
      <c r="E201" s="8161" t="s">
        <v>2801</v>
      </c>
      <c r="F201" s="8161" t="s">
        <v>2287</v>
      </c>
      <c r="G201" s="8161" t="s">
        <v>24</v>
      </c>
      <c r="H201" s="8161" t="s">
        <v>24</v>
      </c>
      <c r="I201" s="8161" t="s">
        <v>915</v>
      </c>
    </row>
    <row customHeight="1" ht="11.25">
      <c r="A202" s="8161" t="s">
        <v>2279</v>
      </c>
      <c r="B202" s="8161" t="s">
        <v>14</v>
      </c>
      <c r="C202" s="8161" t="s">
        <v>2805</v>
      </c>
      <c r="D202" s="8161" t="s">
        <v>2806</v>
      </c>
      <c r="E202" s="8161" t="s">
        <v>2807</v>
      </c>
      <c r="F202" s="8161" t="s">
        <v>2339</v>
      </c>
      <c r="G202" s="8161" t="s">
        <v>24</v>
      </c>
      <c r="H202" s="8161" t="s">
        <v>2371</v>
      </c>
      <c r="I202" s="8161" t="s">
        <v>915</v>
      </c>
    </row>
    <row customHeight="1" ht="11.25">
      <c r="A203" s="8161" t="s">
        <v>2279</v>
      </c>
      <c r="B203" s="8161" t="s">
        <v>14</v>
      </c>
      <c r="C203" s="8161" t="s">
        <v>2808</v>
      </c>
      <c r="D203" s="8161" t="s">
        <v>2809</v>
      </c>
      <c r="E203" s="8161" t="s">
        <v>2810</v>
      </c>
      <c r="F203" s="8161" t="s">
        <v>2448</v>
      </c>
      <c r="G203" s="8161" t="s">
        <v>24</v>
      </c>
      <c r="H203" s="8161" t="s">
        <v>24</v>
      </c>
      <c r="I203" s="8161" t="s">
        <v>915</v>
      </c>
    </row>
    <row customHeight="1" ht="11.25">
      <c r="A204" s="8161" t="s">
        <v>2279</v>
      </c>
      <c r="B204" s="8161" t="s">
        <v>14</v>
      </c>
      <c r="C204" s="8161" t="s">
        <v>2811</v>
      </c>
      <c r="D204" s="8161" t="s">
        <v>2812</v>
      </c>
      <c r="E204" s="8161" t="s">
        <v>2813</v>
      </c>
      <c r="F204" s="8161" t="s">
        <v>2814</v>
      </c>
      <c r="G204" s="8161" t="s">
        <v>2815</v>
      </c>
      <c r="H204" s="8161" t="s">
        <v>24</v>
      </c>
      <c r="I204" s="8161" t="s">
        <v>915</v>
      </c>
    </row>
    <row customHeight="1" ht="11.25">
      <c r="A205" s="8161" t="s">
        <v>2279</v>
      </c>
      <c r="B205" s="8161" t="s">
        <v>14</v>
      </c>
      <c r="C205" s="8161" t="s">
        <v>2860</v>
      </c>
      <c r="D205" s="8161" t="s">
        <v>2861</v>
      </c>
      <c r="E205" s="8161" t="s">
        <v>2862</v>
      </c>
      <c r="F205" s="8161" t="s">
        <v>2448</v>
      </c>
      <c r="G205" s="8161" t="s">
        <v>24</v>
      </c>
      <c r="H205" s="8161" t="s">
        <v>24</v>
      </c>
      <c r="I205" s="8161" t="s">
        <v>915</v>
      </c>
    </row>
    <row customHeight="1" ht="11.25">
      <c r="A206" s="8161" t="s">
        <v>2279</v>
      </c>
      <c r="B206" s="8161" t="s">
        <v>14</v>
      </c>
      <c r="C206" s="8161" t="s">
        <v>2874</v>
      </c>
      <c r="D206" s="8161" t="s">
        <v>2875</v>
      </c>
      <c r="E206" s="8161" t="s">
        <v>2876</v>
      </c>
      <c r="F206" s="8161" t="s">
        <v>2283</v>
      </c>
      <c r="G206" s="8161" t="s">
        <v>24</v>
      </c>
      <c r="H206" s="8161" t="s">
        <v>24</v>
      </c>
      <c r="I206" s="8161" t="s">
        <v>915</v>
      </c>
    </row>
    <row customHeight="1" ht="11.25">
      <c r="A207" s="8161" t="s">
        <v>2279</v>
      </c>
      <c r="B207" s="8161" t="s">
        <v>14</v>
      </c>
      <c r="C207" s="8161" t="s">
        <v>24</v>
      </c>
      <c r="D207" s="8161" t="s">
        <v>2285</v>
      </c>
      <c r="E207" s="8161" t="s">
        <v>2286</v>
      </c>
      <c r="F207" s="8161" t="s">
        <v>2287</v>
      </c>
      <c r="G207" s="8161" t="s">
        <v>24</v>
      </c>
      <c r="H207" s="8161" t="s">
        <v>24</v>
      </c>
      <c r="I207" s="8161" t="s">
        <v>874</v>
      </c>
    </row>
    <row customHeight="1" ht="11.25">
      <c r="A208" s="8161" t="s">
        <v>2279</v>
      </c>
      <c r="B208" s="8161" t="s">
        <v>14</v>
      </c>
      <c r="C208" s="8161" t="s">
        <v>2293</v>
      </c>
      <c r="D208" s="8161" t="s">
        <v>2294</v>
      </c>
      <c r="E208" s="8161" t="s">
        <v>2295</v>
      </c>
      <c r="F208" s="8161" t="s">
        <v>2296</v>
      </c>
      <c r="G208" s="8161" t="s">
        <v>24</v>
      </c>
      <c r="H208" s="8161" t="s">
        <v>24</v>
      </c>
      <c r="I208" s="8161" t="s">
        <v>874</v>
      </c>
    </row>
    <row customHeight="1" ht="11.25">
      <c r="A209" s="8161" t="s">
        <v>2279</v>
      </c>
      <c r="B209" s="8161" t="s">
        <v>14</v>
      </c>
      <c r="C209" s="8161" t="s">
        <v>2301</v>
      </c>
      <c r="D209" s="8161" t="s">
        <v>2302</v>
      </c>
      <c r="E209" s="8161" t="s">
        <v>2303</v>
      </c>
      <c r="F209" s="8161" t="s">
        <v>2304</v>
      </c>
      <c r="G209" s="8161" t="s">
        <v>24</v>
      </c>
      <c r="H209" s="8161" t="s">
        <v>2305</v>
      </c>
      <c r="I209" s="8161" t="s">
        <v>874</v>
      </c>
    </row>
    <row customHeight="1" ht="11.25">
      <c r="A210" s="8161" t="s">
        <v>2279</v>
      </c>
      <c r="B210" s="8161" t="s">
        <v>14</v>
      </c>
      <c r="C210" s="8161" t="s">
        <v>2306</v>
      </c>
      <c r="D210" s="8161" t="s">
        <v>2307</v>
      </c>
      <c r="E210" s="8161" t="s">
        <v>2308</v>
      </c>
      <c r="F210" s="8161" t="s">
        <v>2309</v>
      </c>
      <c r="G210" s="8161" t="s">
        <v>2310</v>
      </c>
      <c r="H210" s="8161" t="s">
        <v>2311</v>
      </c>
      <c r="I210" s="8161" t="s">
        <v>874</v>
      </c>
    </row>
    <row customHeight="1" ht="11.25">
      <c r="A211" s="8161" t="s">
        <v>2279</v>
      </c>
      <c r="B211" s="8161" t="s">
        <v>14</v>
      </c>
      <c r="C211" s="8161" t="s">
        <v>2312</v>
      </c>
      <c r="D211" s="8161" t="s">
        <v>2313</v>
      </c>
      <c r="E211" s="8161" t="s">
        <v>2314</v>
      </c>
      <c r="F211" s="8161" t="s">
        <v>2315</v>
      </c>
      <c r="G211" s="8161" t="s">
        <v>24</v>
      </c>
      <c r="H211" s="8161" t="s">
        <v>24</v>
      </c>
      <c r="I211" s="8161" t="s">
        <v>874</v>
      </c>
    </row>
    <row customHeight="1" ht="11.25">
      <c r="A212" s="8161" t="s">
        <v>2279</v>
      </c>
      <c r="B212" s="8161" t="s">
        <v>14</v>
      </c>
      <c r="C212" s="8161" t="s">
        <v>2316</v>
      </c>
      <c r="D212" s="8161" t="s">
        <v>2317</v>
      </c>
      <c r="E212" s="8161" t="s">
        <v>2318</v>
      </c>
      <c r="F212" s="8161" t="s">
        <v>2319</v>
      </c>
      <c r="G212" s="8161" t="s">
        <v>24</v>
      </c>
      <c r="H212" s="8161" t="s">
        <v>24</v>
      </c>
      <c r="I212" s="8161" t="s">
        <v>874</v>
      </c>
    </row>
    <row customHeight="1" ht="11.25">
      <c r="A213" s="8161" t="s">
        <v>2279</v>
      </c>
      <c r="B213" s="8161" t="s">
        <v>14</v>
      </c>
      <c r="C213" s="8161" t="s">
        <v>2320</v>
      </c>
      <c r="D213" s="8161" t="s">
        <v>2317</v>
      </c>
      <c r="E213" s="8161" t="s">
        <v>2318</v>
      </c>
      <c r="F213" s="8161" t="s">
        <v>2321</v>
      </c>
      <c r="G213" s="8161" t="s">
        <v>2322</v>
      </c>
      <c r="H213" s="8161" t="s">
        <v>24</v>
      </c>
      <c r="I213" s="8161" t="s">
        <v>874</v>
      </c>
    </row>
    <row customHeight="1" ht="11.25">
      <c r="A214" s="8161" t="s">
        <v>2279</v>
      </c>
      <c r="B214" s="8161" t="s">
        <v>14</v>
      </c>
      <c r="C214" s="8161" t="s">
        <v>2326</v>
      </c>
      <c r="D214" s="8161" t="s">
        <v>2327</v>
      </c>
      <c r="E214" s="8161" t="s">
        <v>2318</v>
      </c>
      <c r="F214" s="8161" t="s">
        <v>2328</v>
      </c>
      <c r="G214" s="8161" t="s">
        <v>24</v>
      </c>
      <c r="H214" s="8161" t="s">
        <v>24</v>
      </c>
      <c r="I214" s="8161" t="s">
        <v>874</v>
      </c>
    </row>
    <row customHeight="1" ht="11.25">
      <c r="A215" s="8161" t="s">
        <v>2279</v>
      </c>
      <c r="B215" s="8161" t="s">
        <v>14</v>
      </c>
      <c r="C215" s="8161" t="s">
        <v>2329</v>
      </c>
      <c r="D215" s="8161" t="s">
        <v>2330</v>
      </c>
      <c r="E215" s="8161" t="s">
        <v>2331</v>
      </c>
      <c r="F215" s="8161" t="s">
        <v>2283</v>
      </c>
      <c r="G215" s="8161" t="s">
        <v>24</v>
      </c>
      <c r="H215" s="8161" t="s">
        <v>24</v>
      </c>
      <c r="I215" s="8161" t="s">
        <v>874</v>
      </c>
    </row>
    <row customHeight="1" ht="11.25">
      <c r="A216" s="8161" t="s">
        <v>2279</v>
      </c>
      <c r="B216" s="8161" t="s">
        <v>14</v>
      </c>
      <c r="C216" s="8161" t="s">
        <v>2336</v>
      </c>
      <c r="D216" s="8161" t="s">
        <v>2337</v>
      </c>
      <c r="E216" s="8161" t="s">
        <v>2338</v>
      </c>
      <c r="F216" s="8161" t="s">
        <v>2339</v>
      </c>
      <c r="G216" s="8161" t="s">
        <v>24</v>
      </c>
      <c r="H216" s="8161" t="s">
        <v>24</v>
      </c>
      <c r="I216" s="8161" t="s">
        <v>874</v>
      </c>
    </row>
    <row customHeight="1" ht="11.25">
      <c r="A217" s="8161" t="s">
        <v>2279</v>
      </c>
      <c r="B217" s="8161" t="s">
        <v>14</v>
      </c>
      <c r="C217" s="8161" t="s">
        <v>2904</v>
      </c>
      <c r="D217" s="8161" t="s">
        <v>2905</v>
      </c>
      <c r="E217" s="8161" t="s">
        <v>2906</v>
      </c>
      <c r="F217" s="8161" t="s">
        <v>2599</v>
      </c>
      <c r="G217" s="8161" t="s">
        <v>2907</v>
      </c>
      <c r="H217" s="8161" t="s">
        <v>24</v>
      </c>
      <c r="I217" s="8161" t="s">
        <v>874</v>
      </c>
    </row>
    <row customHeight="1" ht="11.25">
      <c r="A218" s="8161" t="s">
        <v>2279</v>
      </c>
      <c r="B218" s="8161" t="s">
        <v>14</v>
      </c>
      <c r="C218" s="8161" t="s">
        <v>2345</v>
      </c>
      <c r="D218" s="8161" t="s">
        <v>2346</v>
      </c>
      <c r="E218" s="8161" t="s">
        <v>2347</v>
      </c>
      <c r="F218" s="8161" t="s">
        <v>2300</v>
      </c>
      <c r="G218" s="8161" t="s">
        <v>24</v>
      </c>
      <c r="H218" s="8161" t="s">
        <v>24</v>
      </c>
      <c r="I218" s="8161" t="s">
        <v>874</v>
      </c>
    </row>
    <row customHeight="1" ht="11.25">
      <c r="A219" s="8161" t="s">
        <v>2279</v>
      </c>
      <c r="B219" s="8161" t="s">
        <v>14</v>
      </c>
      <c r="C219" s="8161" t="s">
        <v>2908</v>
      </c>
      <c r="D219" s="8161" t="s">
        <v>2909</v>
      </c>
      <c r="E219" s="8161" t="s">
        <v>2910</v>
      </c>
      <c r="F219" s="8161" t="s">
        <v>2283</v>
      </c>
      <c r="G219" s="8161" t="s">
        <v>2911</v>
      </c>
      <c r="H219" s="8161" t="s">
        <v>24</v>
      </c>
      <c r="I219" s="8161" t="s">
        <v>874</v>
      </c>
    </row>
    <row customHeight="1" ht="11.25">
      <c r="A220" s="8161" t="s">
        <v>2279</v>
      </c>
      <c r="B220" s="8161" t="s">
        <v>14</v>
      </c>
      <c r="C220" s="8161" t="s">
        <v>2356</v>
      </c>
      <c r="D220" s="8161" t="s">
        <v>2357</v>
      </c>
      <c r="E220" s="8161" t="s">
        <v>2358</v>
      </c>
      <c r="F220" s="8161" t="s">
        <v>2359</v>
      </c>
      <c r="G220" s="8161" t="s">
        <v>2360</v>
      </c>
      <c r="H220" s="8161" t="s">
        <v>24</v>
      </c>
      <c r="I220" s="8161" t="s">
        <v>874</v>
      </c>
    </row>
    <row customHeight="1" ht="11.25">
      <c r="A221" s="8161" t="s">
        <v>2279</v>
      </c>
      <c r="B221" s="8161" t="s">
        <v>14</v>
      </c>
      <c r="C221" s="8161" t="s">
        <v>2912</v>
      </c>
      <c r="D221" s="8161" t="s">
        <v>2913</v>
      </c>
      <c r="E221" s="8161" t="s">
        <v>2914</v>
      </c>
      <c r="F221" s="8161" t="s">
        <v>2300</v>
      </c>
      <c r="G221" s="8161" t="s">
        <v>24</v>
      </c>
      <c r="H221" s="8161" t="s">
        <v>24</v>
      </c>
      <c r="I221" s="8161" t="s">
        <v>874</v>
      </c>
    </row>
    <row customHeight="1" ht="11.25">
      <c r="A222" s="8161" t="s">
        <v>2279</v>
      </c>
      <c r="B222" s="8161" t="s">
        <v>14</v>
      </c>
      <c r="C222" s="8161" t="s">
        <v>2364</v>
      </c>
      <c r="D222" s="8161" t="s">
        <v>2365</v>
      </c>
      <c r="E222" s="8161" t="s">
        <v>2366</v>
      </c>
      <c r="F222" s="8161" t="s">
        <v>2367</v>
      </c>
      <c r="G222" s="8161" t="s">
        <v>24</v>
      </c>
      <c r="H222" s="8161" t="s">
        <v>24</v>
      </c>
      <c r="I222" s="8161" t="s">
        <v>874</v>
      </c>
    </row>
    <row customHeight="1" ht="11.25">
      <c r="A223" s="8161" t="s">
        <v>2279</v>
      </c>
      <c r="B223" s="8161" t="s">
        <v>14</v>
      </c>
      <c r="C223" s="8161" t="s">
        <v>2915</v>
      </c>
      <c r="D223" s="8161" t="s">
        <v>2916</v>
      </c>
      <c r="E223" s="8161" t="s">
        <v>2917</v>
      </c>
      <c r="F223" s="8161" t="s">
        <v>2873</v>
      </c>
      <c r="G223" s="8161" t="s">
        <v>2918</v>
      </c>
      <c r="H223" s="8161" t="s">
        <v>24</v>
      </c>
      <c r="I223" s="8161" t="s">
        <v>874</v>
      </c>
    </row>
    <row customHeight="1" ht="11.25">
      <c r="A224" s="8161" t="s">
        <v>2279</v>
      </c>
      <c r="B224" s="8161" t="s">
        <v>14</v>
      </c>
      <c r="C224" s="8161" t="s">
        <v>2376</v>
      </c>
      <c r="D224" s="8161" t="s">
        <v>2377</v>
      </c>
      <c r="E224" s="8161" t="s">
        <v>2378</v>
      </c>
      <c r="F224" s="8161" t="s">
        <v>2287</v>
      </c>
      <c r="G224" s="8161" t="s">
        <v>2379</v>
      </c>
      <c r="H224" s="8161" t="s">
        <v>24</v>
      </c>
      <c r="I224" s="8161" t="s">
        <v>874</v>
      </c>
    </row>
    <row customHeight="1" ht="11.25">
      <c r="A225" s="8161" t="s">
        <v>2279</v>
      </c>
      <c r="B225" s="8161" t="s">
        <v>14</v>
      </c>
      <c r="C225" s="8161" t="s">
        <v>2919</v>
      </c>
      <c r="D225" s="8161" t="s">
        <v>2920</v>
      </c>
      <c r="E225" s="8161" t="s">
        <v>2921</v>
      </c>
      <c r="F225" s="8161" t="s">
        <v>2922</v>
      </c>
      <c r="G225" s="8161" t="s">
        <v>24</v>
      </c>
      <c r="H225" s="8161" t="s">
        <v>24</v>
      </c>
      <c r="I225" s="8161" t="s">
        <v>874</v>
      </c>
    </row>
    <row customHeight="1" ht="11.25">
      <c r="A226" s="8161" t="s">
        <v>2279</v>
      </c>
      <c r="B226" s="8161" t="s">
        <v>14</v>
      </c>
      <c r="C226" s="8161" t="s">
        <v>2398</v>
      </c>
      <c r="D226" s="8161" t="s">
        <v>2399</v>
      </c>
      <c r="E226" s="8161" t="s">
        <v>2396</v>
      </c>
      <c r="F226" s="8161" t="s">
        <v>2400</v>
      </c>
      <c r="G226" s="8161" t="s">
        <v>24</v>
      </c>
      <c r="H226" s="8161" t="s">
        <v>24</v>
      </c>
      <c r="I226" s="8161" t="s">
        <v>874</v>
      </c>
    </row>
    <row customHeight="1" ht="11.25">
      <c r="A227" s="8161" t="s">
        <v>2279</v>
      </c>
      <c r="B227" s="8161" t="s">
        <v>14</v>
      </c>
      <c r="C227" s="8161" t="s">
        <v>2923</v>
      </c>
      <c r="D227" s="8161" t="s">
        <v>2924</v>
      </c>
      <c r="E227" s="8161" t="s">
        <v>2925</v>
      </c>
      <c r="F227" s="8161" t="s">
        <v>2438</v>
      </c>
      <c r="G227" s="8161" t="s">
        <v>24</v>
      </c>
      <c r="H227" s="8161" t="s">
        <v>24</v>
      </c>
      <c r="I227" s="8161" t="s">
        <v>874</v>
      </c>
    </row>
    <row customHeight="1" ht="11.25">
      <c r="A228" s="8161" t="s">
        <v>2279</v>
      </c>
      <c r="B228" s="8161" t="s">
        <v>14</v>
      </c>
      <c r="C228" s="8161" t="s">
        <v>2409</v>
      </c>
      <c r="D228" s="8161" t="s">
        <v>2410</v>
      </c>
      <c r="E228" s="8161" t="s">
        <v>2411</v>
      </c>
      <c r="F228" s="8161" t="s">
        <v>2291</v>
      </c>
      <c r="G228" s="8161" t="s">
        <v>24</v>
      </c>
      <c r="H228" s="8161" t="s">
        <v>24</v>
      </c>
      <c r="I228" s="8161" t="s">
        <v>874</v>
      </c>
    </row>
    <row customHeight="1" ht="11.25">
      <c r="A229" s="8161" t="s">
        <v>2279</v>
      </c>
      <c r="B229" s="8161" t="s">
        <v>14</v>
      </c>
      <c r="C229" s="8161" t="s">
        <v>2926</v>
      </c>
      <c r="D229" s="8161" t="s">
        <v>2927</v>
      </c>
      <c r="E229" s="8161" t="s">
        <v>2928</v>
      </c>
      <c r="F229" s="8161" t="s">
        <v>2339</v>
      </c>
      <c r="G229" s="8161" t="s">
        <v>24</v>
      </c>
      <c r="H229" s="8161" t="s">
        <v>2929</v>
      </c>
      <c r="I229" s="8161" t="s">
        <v>874</v>
      </c>
    </row>
    <row customHeight="1" ht="11.25">
      <c r="A230" s="8161" t="s">
        <v>2279</v>
      </c>
      <c r="B230" s="8161" t="s">
        <v>14</v>
      </c>
      <c r="C230" s="8161" t="s">
        <v>2415</v>
      </c>
      <c r="D230" s="8161" t="s">
        <v>2416</v>
      </c>
      <c r="E230" s="8161" t="s">
        <v>2417</v>
      </c>
      <c r="F230" s="8161" t="s">
        <v>2418</v>
      </c>
      <c r="G230" s="8161" t="s">
        <v>24</v>
      </c>
      <c r="H230" s="8161" t="s">
        <v>2419</v>
      </c>
      <c r="I230" s="8161" t="s">
        <v>874</v>
      </c>
    </row>
    <row customHeight="1" ht="11.25">
      <c r="A231" s="8161" t="s">
        <v>2279</v>
      </c>
      <c r="B231" s="8161" t="s">
        <v>14</v>
      </c>
      <c r="C231" s="8161" t="s">
        <v>2930</v>
      </c>
      <c r="D231" s="8161" t="s">
        <v>2931</v>
      </c>
      <c r="E231" s="8161" t="s">
        <v>2932</v>
      </c>
      <c r="F231" s="8161" t="s">
        <v>681</v>
      </c>
      <c r="G231" s="8161" t="s">
        <v>24</v>
      </c>
      <c r="H231" s="8161" t="s">
        <v>24</v>
      </c>
      <c r="I231" s="8161" t="s">
        <v>874</v>
      </c>
    </row>
    <row customHeight="1" ht="11.25">
      <c r="A232" s="8161" t="s">
        <v>2279</v>
      </c>
      <c r="B232" s="8161" t="s">
        <v>14</v>
      </c>
      <c r="C232" s="8161" t="s">
        <v>2933</v>
      </c>
      <c r="D232" s="8161" t="s">
        <v>2934</v>
      </c>
      <c r="E232" s="8161" t="s">
        <v>2935</v>
      </c>
      <c r="F232" s="8161" t="s">
        <v>681</v>
      </c>
      <c r="G232" s="8161" t="s">
        <v>24</v>
      </c>
      <c r="H232" s="8161" t="s">
        <v>24</v>
      </c>
      <c r="I232" s="8161" t="s">
        <v>874</v>
      </c>
    </row>
    <row customHeight="1" ht="11.25">
      <c r="A233" s="8161" t="s">
        <v>2279</v>
      </c>
      <c r="B233" s="8161" t="s">
        <v>14</v>
      </c>
      <c r="C233" s="8161" t="s">
        <v>2936</v>
      </c>
      <c r="D233" s="8161" t="s">
        <v>2937</v>
      </c>
      <c r="E233" s="8161" t="s">
        <v>2938</v>
      </c>
      <c r="F233" s="8161" t="s">
        <v>681</v>
      </c>
      <c r="G233" s="8161" t="s">
        <v>24</v>
      </c>
      <c r="H233" s="8161" t="s">
        <v>24</v>
      </c>
      <c r="I233" s="8161" t="s">
        <v>874</v>
      </c>
    </row>
    <row customHeight="1" ht="11.25">
      <c r="A234" s="8161" t="s">
        <v>2279</v>
      </c>
      <c r="B234" s="8161" t="s">
        <v>14</v>
      </c>
      <c r="C234" s="8161" t="s">
        <v>2439</v>
      </c>
      <c r="D234" s="8161" t="s">
        <v>2440</v>
      </c>
      <c r="E234" s="8161" t="s">
        <v>2441</v>
      </c>
      <c r="F234" s="8161" t="s">
        <v>2404</v>
      </c>
      <c r="G234" s="8161" t="s">
        <v>24</v>
      </c>
      <c r="H234" s="8161" t="s">
        <v>24</v>
      </c>
      <c r="I234" s="8161" t="s">
        <v>874</v>
      </c>
    </row>
    <row customHeight="1" ht="11.25">
      <c r="A235" s="8161" t="s">
        <v>2279</v>
      </c>
      <c r="B235" s="8161" t="s">
        <v>14</v>
      </c>
      <c r="C235" s="8161" t="s">
        <v>2939</v>
      </c>
      <c r="D235" s="8161" t="s">
        <v>43</v>
      </c>
      <c r="E235" s="8161" t="s">
        <v>46</v>
      </c>
      <c r="F235" s="8161" t="s">
        <v>2940</v>
      </c>
      <c r="G235" s="8161" t="s">
        <v>24</v>
      </c>
      <c r="H235" s="8161" t="s">
        <v>24</v>
      </c>
      <c r="I235" s="8161" t="s">
        <v>874</v>
      </c>
    </row>
    <row customHeight="1" ht="11.25">
      <c r="A236" s="8161" t="s">
        <v>2279</v>
      </c>
      <c r="B236" s="8161" t="s">
        <v>14</v>
      </c>
      <c r="C236" s="8161" t="s">
        <v>2880</v>
      </c>
      <c r="D236" s="8161" t="s">
        <v>43</v>
      </c>
      <c r="E236" s="8161" t="s">
        <v>46</v>
      </c>
      <c r="F236" s="8161" t="s">
        <v>2881</v>
      </c>
      <c r="G236" s="8161" t="s">
        <v>24</v>
      </c>
      <c r="H236" s="8161" t="s">
        <v>24</v>
      </c>
      <c r="I236" s="8161" t="s">
        <v>874</v>
      </c>
    </row>
    <row customHeight="1" ht="11.25">
      <c r="A237" s="8161" t="s">
        <v>2279</v>
      </c>
      <c r="B237" s="8161" t="s">
        <v>14</v>
      </c>
      <c r="C237" s="8161" t="s">
        <v>2882</v>
      </c>
      <c r="D237" s="8161" t="s">
        <v>43</v>
      </c>
      <c r="E237" s="8161" t="s">
        <v>46</v>
      </c>
      <c r="F237" s="8161" t="s">
        <v>2883</v>
      </c>
      <c r="G237" s="8161" t="s">
        <v>24</v>
      </c>
      <c r="H237" s="8161" t="s">
        <v>24</v>
      </c>
      <c r="I237" s="8161" t="s">
        <v>874</v>
      </c>
    </row>
    <row customHeight="1" ht="11.25">
      <c r="A238" s="8161" t="s">
        <v>2279</v>
      </c>
      <c r="B238" s="8161" t="s">
        <v>14</v>
      </c>
      <c r="C238" s="8161" t="s">
        <v>2884</v>
      </c>
      <c r="D238" s="8161" t="s">
        <v>43</v>
      </c>
      <c r="E238" s="8161" t="s">
        <v>46</v>
      </c>
      <c r="F238" s="8161" t="s">
        <v>2885</v>
      </c>
      <c r="G238" s="8161" t="s">
        <v>24</v>
      </c>
      <c r="H238" s="8161" t="s">
        <v>24</v>
      </c>
      <c r="I238" s="8161" t="s">
        <v>874</v>
      </c>
    </row>
    <row customHeight="1" ht="11.25">
      <c r="A239" s="8161" t="s">
        <v>2279</v>
      </c>
      <c r="B239" s="8161" t="s">
        <v>14</v>
      </c>
      <c r="C239" s="8161" t="s">
        <v>2941</v>
      </c>
      <c r="D239" s="8161" t="s">
        <v>43</v>
      </c>
      <c r="E239" s="8161" t="s">
        <v>46</v>
      </c>
      <c r="F239" s="8161" t="s">
        <v>2942</v>
      </c>
      <c r="G239" s="8161" t="s">
        <v>24</v>
      </c>
      <c r="H239" s="8161" t="s">
        <v>24</v>
      </c>
      <c r="I239" s="8161" t="s">
        <v>874</v>
      </c>
    </row>
    <row customHeight="1" ht="11.25">
      <c r="A240" s="8161" t="s">
        <v>2279</v>
      </c>
      <c r="B240" s="8161" t="s">
        <v>14</v>
      </c>
      <c r="C240" s="8161" t="s">
        <v>2886</v>
      </c>
      <c r="D240" s="8161" t="s">
        <v>43</v>
      </c>
      <c r="E240" s="8161" t="s">
        <v>46</v>
      </c>
      <c r="F240" s="8161" t="s">
        <v>2887</v>
      </c>
      <c r="G240" s="8161" t="s">
        <v>24</v>
      </c>
      <c r="H240" s="8161" t="s">
        <v>24</v>
      </c>
      <c r="I240" s="8161" t="s">
        <v>874</v>
      </c>
    </row>
    <row customHeight="1" ht="11.25">
      <c r="A241" s="8161" t="s">
        <v>2279</v>
      </c>
      <c r="B241" s="8161" t="s">
        <v>14</v>
      </c>
      <c r="C241" s="8161" t="s">
        <v>2888</v>
      </c>
      <c r="D241" s="8161" t="s">
        <v>43</v>
      </c>
      <c r="E241" s="8161" t="s">
        <v>46</v>
      </c>
      <c r="F241" s="8161" t="s">
        <v>2889</v>
      </c>
      <c r="G241" s="8161" t="s">
        <v>24</v>
      </c>
      <c r="H241" s="8161" t="s">
        <v>24</v>
      </c>
      <c r="I241" s="8161" t="s">
        <v>874</v>
      </c>
    </row>
    <row customHeight="1" ht="11.25">
      <c r="A242" s="8161" t="s">
        <v>2279</v>
      </c>
      <c r="B242" s="8161" t="s">
        <v>14</v>
      </c>
      <c r="C242" s="8161" t="s">
        <v>2890</v>
      </c>
      <c r="D242" s="8161" t="s">
        <v>43</v>
      </c>
      <c r="E242" s="8161" t="s">
        <v>46</v>
      </c>
      <c r="F242" s="8161" t="s">
        <v>2891</v>
      </c>
      <c r="G242" s="8161" t="s">
        <v>24</v>
      </c>
      <c r="H242" s="8161" t="s">
        <v>24</v>
      </c>
      <c r="I242" s="8161" t="s">
        <v>874</v>
      </c>
    </row>
    <row customHeight="1" ht="11.25">
      <c r="A243" s="8161" t="s">
        <v>2279</v>
      </c>
      <c r="B243" s="8161" t="s">
        <v>14</v>
      </c>
      <c r="C243" s="8161" t="s">
        <v>2892</v>
      </c>
      <c r="D243" s="8161" t="s">
        <v>43</v>
      </c>
      <c r="E243" s="8161" t="s">
        <v>46</v>
      </c>
      <c r="F243" s="8161" t="s">
        <v>2893</v>
      </c>
      <c r="G243" s="8161" t="s">
        <v>24</v>
      </c>
      <c r="H243" s="8161" t="s">
        <v>24</v>
      </c>
      <c r="I243" s="8161" t="s">
        <v>874</v>
      </c>
    </row>
    <row customHeight="1" ht="11.25">
      <c r="A244" s="8161" t="s">
        <v>2279</v>
      </c>
      <c r="B244" s="8161" t="s">
        <v>14</v>
      </c>
      <c r="C244" s="8161" t="s">
        <v>2894</v>
      </c>
      <c r="D244" s="8161" t="s">
        <v>43</v>
      </c>
      <c r="E244" s="8161" t="s">
        <v>46</v>
      </c>
      <c r="F244" s="8161" t="s">
        <v>2895</v>
      </c>
      <c r="G244" s="8161" t="s">
        <v>24</v>
      </c>
      <c r="H244" s="8161" t="s">
        <v>24</v>
      </c>
      <c r="I244" s="8161" t="s">
        <v>874</v>
      </c>
    </row>
    <row customHeight="1" ht="11.25">
      <c r="A245" s="8161" t="s">
        <v>2279</v>
      </c>
      <c r="B245" s="8161" t="s">
        <v>14</v>
      </c>
      <c r="C245" s="8161" t="s">
        <v>2453</v>
      </c>
      <c r="D245" s="8161" t="s">
        <v>43</v>
      </c>
      <c r="E245" s="8161" t="s">
        <v>46</v>
      </c>
      <c r="F245" s="8161" t="s">
        <v>48</v>
      </c>
      <c r="G245" s="8161" t="s">
        <v>24</v>
      </c>
      <c r="H245" s="8161" t="s">
        <v>24</v>
      </c>
      <c r="I245" s="8161" t="s">
        <v>874</v>
      </c>
    </row>
    <row customHeight="1" ht="11.25">
      <c r="A246" s="8161" t="s">
        <v>2279</v>
      </c>
      <c r="B246" s="8161" t="s">
        <v>14</v>
      </c>
      <c r="C246" s="8161" t="s">
        <v>2943</v>
      </c>
      <c r="D246" s="8161" t="s">
        <v>2944</v>
      </c>
      <c r="E246" s="8161" t="s">
        <v>2945</v>
      </c>
      <c r="F246" s="8161" t="s">
        <v>2283</v>
      </c>
      <c r="G246" s="8161" t="s">
        <v>24</v>
      </c>
      <c r="H246" s="8161" t="s">
        <v>24</v>
      </c>
      <c r="I246" s="8161" t="s">
        <v>874</v>
      </c>
    </row>
    <row customHeight="1" ht="11.25">
      <c r="A247" s="8161" t="s">
        <v>2279</v>
      </c>
      <c r="B247" s="8161" t="s">
        <v>14</v>
      </c>
      <c r="C247" s="8161" t="s">
        <v>2946</v>
      </c>
      <c r="D247" s="8161" t="s">
        <v>2944</v>
      </c>
      <c r="E247" s="8161" t="s">
        <v>2945</v>
      </c>
      <c r="F247" s="8161" t="s">
        <v>2947</v>
      </c>
      <c r="G247" s="8161" t="s">
        <v>24</v>
      </c>
      <c r="H247" s="8161" t="s">
        <v>24</v>
      </c>
      <c r="I247" s="8161" t="s">
        <v>874</v>
      </c>
    </row>
    <row customHeight="1" ht="11.25">
      <c r="A248" s="8161" t="s">
        <v>2279</v>
      </c>
      <c r="B248" s="8161" t="s">
        <v>14</v>
      </c>
      <c r="C248" s="8161" t="s">
        <v>2458</v>
      </c>
      <c r="D248" s="8161" t="s">
        <v>2455</v>
      </c>
      <c r="E248" s="8161" t="s">
        <v>46</v>
      </c>
      <c r="F248" s="8161" t="s">
        <v>2459</v>
      </c>
      <c r="G248" s="8161" t="s">
        <v>24</v>
      </c>
      <c r="H248" s="8161" t="s">
        <v>2460</v>
      </c>
      <c r="I248" s="8161" t="s">
        <v>874</v>
      </c>
    </row>
    <row customHeight="1" ht="11.25">
      <c r="A249" s="8161" t="s">
        <v>2279</v>
      </c>
      <c r="B249" s="8161" t="s">
        <v>14</v>
      </c>
      <c r="C249" s="8161" t="s">
        <v>2948</v>
      </c>
      <c r="D249" s="8161" t="s">
        <v>2455</v>
      </c>
      <c r="E249" s="8161" t="s">
        <v>46</v>
      </c>
      <c r="F249" s="8161" t="s">
        <v>2949</v>
      </c>
      <c r="G249" s="8161" t="s">
        <v>24</v>
      </c>
      <c r="H249" s="8161" t="s">
        <v>24</v>
      </c>
      <c r="I249" s="8161" t="s">
        <v>874</v>
      </c>
    </row>
    <row customHeight="1" ht="11.25">
      <c r="A250" s="8161" t="s">
        <v>2279</v>
      </c>
      <c r="B250" s="8161" t="s">
        <v>14</v>
      </c>
      <c r="C250" s="8161" t="s">
        <v>2896</v>
      </c>
      <c r="D250" s="8161" t="s">
        <v>2455</v>
      </c>
      <c r="E250" s="8161" t="s">
        <v>46</v>
      </c>
      <c r="F250" s="8161" t="s">
        <v>2897</v>
      </c>
      <c r="G250" s="8161" t="s">
        <v>24</v>
      </c>
      <c r="H250" s="8161" t="s">
        <v>24</v>
      </c>
      <c r="I250" s="8161" t="s">
        <v>874</v>
      </c>
    </row>
    <row customHeight="1" ht="11.25">
      <c r="A251" s="8161" t="s">
        <v>2279</v>
      </c>
      <c r="B251" s="8161" t="s">
        <v>14</v>
      </c>
      <c r="C251" s="8161" t="s">
        <v>2950</v>
      </c>
      <c r="D251" s="8161" t="s">
        <v>2951</v>
      </c>
      <c r="E251" s="8161" t="s">
        <v>2952</v>
      </c>
      <c r="F251" s="8161" t="s">
        <v>2339</v>
      </c>
      <c r="G251" s="8161" t="s">
        <v>24</v>
      </c>
      <c r="H251" s="8161" t="s">
        <v>24</v>
      </c>
      <c r="I251" s="8161" t="s">
        <v>874</v>
      </c>
    </row>
    <row customHeight="1" ht="11.25">
      <c r="A252" s="8161" t="s">
        <v>2279</v>
      </c>
      <c r="B252" s="8161" t="s">
        <v>14</v>
      </c>
      <c r="C252" s="8161" t="s">
        <v>2953</v>
      </c>
      <c r="D252" s="8161" t="s">
        <v>2954</v>
      </c>
      <c r="E252" s="8161" t="s">
        <v>2955</v>
      </c>
      <c r="F252" s="8161" t="s">
        <v>2560</v>
      </c>
      <c r="G252" s="8161" t="s">
        <v>24</v>
      </c>
      <c r="H252" s="8161" t="s">
        <v>24</v>
      </c>
      <c r="I252" s="8161" t="s">
        <v>874</v>
      </c>
    </row>
    <row customHeight="1" ht="11.25">
      <c r="A253" s="8161" t="s">
        <v>2279</v>
      </c>
      <c r="B253" s="8161" t="s">
        <v>14</v>
      </c>
      <c r="C253" s="8161" t="s">
        <v>2956</v>
      </c>
      <c r="D253" s="8161" t="s">
        <v>2957</v>
      </c>
      <c r="E253" s="8161" t="s">
        <v>2958</v>
      </c>
      <c r="F253" s="8161" t="s">
        <v>2574</v>
      </c>
      <c r="G253" s="8161" t="s">
        <v>24</v>
      </c>
      <c r="H253" s="8161" t="s">
        <v>24</v>
      </c>
      <c r="I253" s="8161" t="s">
        <v>874</v>
      </c>
    </row>
    <row customHeight="1" ht="11.25">
      <c r="A254" s="8161" t="s">
        <v>2279</v>
      </c>
      <c r="B254" s="8161" t="s">
        <v>14</v>
      </c>
      <c r="C254" s="8161" t="s">
        <v>2959</v>
      </c>
      <c r="D254" s="8161" t="s">
        <v>2960</v>
      </c>
      <c r="E254" s="8161" t="s">
        <v>2961</v>
      </c>
      <c r="F254" s="8161" t="s">
        <v>2359</v>
      </c>
      <c r="G254" s="8161" t="s">
        <v>24</v>
      </c>
      <c r="H254" s="8161" t="s">
        <v>24</v>
      </c>
      <c r="I254" s="8161" t="s">
        <v>874</v>
      </c>
    </row>
    <row customHeight="1" ht="11.25">
      <c r="A255" s="8161" t="s">
        <v>2279</v>
      </c>
      <c r="B255" s="8161" t="s">
        <v>14</v>
      </c>
      <c r="C255" s="8161" t="s">
        <v>2962</v>
      </c>
      <c r="D255" s="8161" t="s">
        <v>2963</v>
      </c>
      <c r="E255" s="8161" t="s">
        <v>2964</v>
      </c>
      <c r="F255" s="8161" t="s">
        <v>2473</v>
      </c>
      <c r="G255" s="8161" t="s">
        <v>24</v>
      </c>
      <c r="H255" s="8161" t="s">
        <v>24</v>
      </c>
      <c r="I255" s="8161" t="s">
        <v>874</v>
      </c>
    </row>
    <row customHeight="1" ht="11.25">
      <c r="A256" s="8161" t="s">
        <v>2279</v>
      </c>
      <c r="B256" s="8161" t="s">
        <v>14</v>
      </c>
      <c r="C256" s="8161" t="s">
        <v>2965</v>
      </c>
      <c r="D256" s="8161" t="s">
        <v>2966</v>
      </c>
      <c r="E256" s="8161" t="s">
        <v>2967</v>
      </c>
      <c r="F256" s="8161" t="s">
        <v>2968</v>
      </c>
      <c r="G256" s="8161" t="s">
        <v>24</v>
      </c>
      <c r="H256" s="8161" t="s">
        <v>24</v>
      </c>
      <c r="I256" s="8161" t="s">
        <v>874</v>
      </c>
    </row>
    <row customHeight="1" ht="11.25">
      <c r="A257" s="8161" t="s">
        <v>2279</v>
      </c>
      <c r="B257" s="8161" t="s">
        <v>14</v>
      </c>
      <c r="C257" s="8161" t="s">
        <v>2969</v>
      </c>
      <c r="D257" s="8161" t="s">
        <v>2970</v>
      </c>
      <c r="E257" s="8161" t="s">
        <v>2971</v>
      </c>
      <c r="F257" s="8161" t="s">
        <v>2493</v>
      </c>
      <c r="G257" s="8161" t="s">
        <v>24</v>
      </c>
      <c r="H257" s="8161" t="s">
        <v>2972</v>
      </c>
      <c r="I257" s="8161" t="s">
        <v>874</v>
      </c>
    </row>
    <row customHeight="1" ht="11.25">
      <c r="A258" s="8161" t="s">
        <v>2279</v>
      </c>
      <c r="B258" s="8161" t="s">
        <v>14</v>
      </c>
      <c r="C258" s="8161" t="s">
        <v>2973</v>
      </c>
      <c r="D258" s="8161" t="s">
        <v>2974</v>
      </c>
      <c r="E258" s="8161" t="s">
        <v>2975</v>
      </c>
      <c r="F258" s="8161" t="s">
        <v>2359</v>
      </c>
      <c r="G258" s="8161" t="s">
        <v>24</v>
      </c>
      <c r="H258" s="8161" t="s">
        <v>24</v>
      </c>
      <c r="I258" s="8161" t="s">
        <v>874</v>
      </c>
    </row>
    <row customHeight="1" ht="11.25">
      <c r="A259" s="8161" t="s">
        <v>2279</v>
      </c>
      <c r="B259" s="8161" t="s">
        <v>14</v>
      </c>
      <c r="C259" s="8161" t="s">
        <v>2976</v>
      </c>
      <c r="D259" s="8161" t="s">
        <v>2977</v>
      </c>
      <c r="E259" s="8161" t="s">
        <v>2978</v>
      </c>
      <c r="F259" s="8161" t="s">
        <v>2493</v>
      </c>
      <c r="G259" s="8161" t="s">
        <v>24</v>
      </c>
      <c r="H259" s="8161" t="s">
        <v>2979</v>
      </c>
      <c r="I259" s="8161" t="s">
        <v>874</v>
      </c>
    </row>
    <row customHeight="1" ht="11.25">
      <c r="A260" s="8161" t="s">
        <v>2279</v>
      </c>
      <c r="B260" s="8161" t="s">
        <v>14</v>
      </c>
      <c r="C260" s="8161" t="s">
        <v>2470</v>
      </c>
      <c r="D260" s="8161" t="s">
        <v>2471</v>
      </c>
      <c r="E260" s="8161" t="s">
        <v>2472</v>
      </c>
      <c r="F260" s="8161" t="s">
        <v>2473</v>
      </c>
      <c r="G260" s="8161" t="s">
        <v>24</v>
      </c>
      <c r="H260" s="8161" t="s">
        <v>24</v>
      </c>
      <c r="I260" s="8161" t="s">
        <v>874</v>
      </c>
    </row>
    <row customHeight="1" ht="11.25">
      <c r="A261" s="8161" t="s">
        <v>2279</v>
      </c>
      <c r="B261" s="8161" t="s">
        <v>14</v>
      </c>
      <c r="C261" s="8161" t="s">
        <v>2980</v>
      </c>
      <c r="D261" s="8161" t="s">
        <v>2981</v>
      </c>
      <c r="E261" s="8161" t="s">
        <v>2982</v>
      </c>
      <c r="F261" s="8161" t="s">
        <v>2493</v>
      </c>
      <c r="G261" s="8161" t="s">
        <v>2983</v>
      </c>
      <c r="H261" s="8161" t="s">
        <v>24</v>
      </c>
      <c r="I261" s="8161" t="s">
        <v>874</v>
      </c>
    </row>
    <row customHeight="1" ht="11.25">
      <c r="A262" s="8161" t="s">
        <v>2279</v>
      </c>
      <c r="B262" s="8161" t="s">
        <v>14</v>
      </c>
      <c r="C262" s="8161" t="s">
        <v>2984</v>
      </c>
      <c r="D262" s="8161" t="s">
        <v>2985</v>
      </c>
      <c r="E262" s="8161" t="s">
        <v>2986</v>
      </c>
      <c r="F262" s="8161" t="s">
        <v>2987</v>
      </c>
      <c r="G262" s="8161" t="s">
        <v>24</v>
      </c>
      <c r="H262" s="8161" t="s">
        <v>24</v>
      </c>
      <c r="I262" s="8161" t="s">
        <v>874</v>
      </c>
    </row>
    <row customHeight="1" ht="11.25">
      <c r="A263" s="8161" t="s">
        <v>2279</v>
      </c>
      <c r="B263" s="8161" t="s">
        <v>14</v>
      </c>
      <c r="C263" s="8161" t="s">
        <v>2988</v>
      </c>
      <c r="D263" s="8161" t="s">
        <v>2989</v>
      </c>
      <c r="E263" s="8161" t="s">
        <v>2990</v>
      </c>
      <c r="F263" s="8161" t="s">
        <v>2493</v>
      </c>
      <c r="G263" s="8161" t="s">
        <v>24</v>
      </c>
      <c r="H263" s="8161" t="s">
        <v>24</v>
      </c>
      <c r="I263" s="8161" t="s">
        <v>874</v>
      </c>
    </row>
    <row customHeight="1" ht="11.25">
      <c r="A264" s="8161" t="s">
        <v>2279</v>
      </c>
      <c r="B264" s="8161" t="s">
        <v>14</v>
      </c>
      <c r="C264" s="8161" t="s">
        <v>2991</v>
      </c>
      <c r="D264" s="8161" t="s">
        <v>2992</v>
      </c>
      <c r="E264" s="8161" t="s">
        <v>2993</v>
      </c>
      <c r="F264" s="8161" t="s">
        <v>2339</v>
      </c>
      <c r="G264" s="8161" t="s">
        <v>2994</v>
      </c>
      <c r="H264" s="8161" t="s">
        <v>24</v>
      </c>
      <c r="I264" s="8161" t="s">
        <v>874</v>
      </c>
    </row>
    <row customHeight="1" ht="11.25">
      <c r="A265" s="8161" t="s">
        <v>2279</v>
      </c>
      <c r="B265" s="8161" t="s">
        <v>14</v>
      </c>
      <c r="C265" s="8161" t="s">
        <v>2995</v>
      </c>
      <c r="D265" s="8161" t="s">
        <v>2996</v>
      </c>
      <c r="E265" s="8161" t="s">
        <v>2997</v>
      </c>
      <c r="F265" s="8161" t="s">
        <v>2339</v>
      </c>
      <c r="G265" s="8161" t="s">
        <v>2998</v>
      </c>
      <c r="H265" s="8161" t="s">
        <v>24</v>
      </c>
      <c r="I265" s="8161" t="s">
        <v>874</v>
      </c>
    </row>
    <row customHeight="1" ht="11.25">
      <c r="A266" s="8161" t="s">
        <v>2279</v>
      </c>
      <c r="B266" s="8161" t="s">
        <v>14</v>
      </c>
      <c r="C266" s="8161" t="s">
        <v>2999</v>
      </c>
      <c r="D266" s="8161" t="s">
        <v>3000</v>
      </c>
      <c r="E266" s="8161" t="s">
        <v>3001</v>
      </c>
      <c r="F266" s="8161" t="s">
        <v>2493</v>
      </c>
      <c r="G266" s="8161" t="s">
        <v>24</v>
      </c>
      <c r="H266" s="8161" t="s">
        <v>2457</v>
      </c>
      <c r="I266" s="8161" t="s">
        <v>874</v>
      </c>
    </row>
    <row customHeight="1" ht="11.25">
      <c r="A267" s="8161" t="s">
        <v>2279</v>
      </c>
      <c r="B267" s="8161" t="s">
        <v>14</v>
      </c>
      <c r="C267" s="8161" t="s">
        <v>2477</v>
      </c>
      <c r="D267" s="8161" t="s">
        <v>2478</v>
      </c>
      <c r="E267" s="8161" t="s">
        <v>2479</v>
      </c>
      <c r="F267" s="8161" t="s">
        <v>2480</v>
      </c>
      <c r="G267" s="8161" t="s">
        <v>24</v>
      </c>
      <c r="H267" s="8161" t="s">
        <v>24</v>
      </c>
      <c r="I267" s="8161" t="s">
        <v>874</v>
      </c>
    </row>
    <row customHeight="1" ht="11.25">
      <c r="A268" s="8161" t="s">
        <v>2279</v>
      </c>
      <c r="B268" s="8161" t="s">
        <v>14</v>
      </c>
      <c r="C268" s="8161" t="s">
        <v>3002</v>
      </c>
      <c r="D268" s="8161" t="s">
        <v>3003</v>
      </c>
      <c r="E268" s="8161" t="s">
        <v>3004</v>
      </c>
      <c r="F268" s="8161" t="s">
        <v>2359</v>
      </c>
      <c r="G268" s="8161" t="s">
        <v>24</v>
      </c>
      <c r="H268" s="8161" t="s">
        <v>3005</v>
      </c>
      <c r="I268" s="8161" t="s">
        <v>874</v>
      </c>
    </row>
    <row customHeight="1" ht="11.25">
      <c r="A269" s="8161" t="s">
        <v>2279</v>
      </c>
      <c r="B269" s="8161" t="s">
        <v>14</v>
      </c>
      <c r="C269" s="8161" t="s">
        <v>3006</v>
      </c>
      <c r="D269" s="8161" t="s">
        <v>3007</v>
      </c>
      <c r="E269" s="8161" t="s">
        <v>3008</v>
      </c>
      <c r="F269" s="8161" t="s">
        <v>2873</v>
      </c>
      <c r="G269" s="8161" t="s">
        <v>24</v>
      </c>
      <c r="H269" s="8161" t="s">
        <v>2457</v>
      </c>
      <c r="I269" s="8161" t="s">
        <v>874</v>
      </c>
    </row>
    <row customHeight="1" ht="11.25">
      <c r="A270" s="8161" t="s">
        <v>2279</v>
      </c>
      <c r="B270" s="8161" t="s">
        <v>14</v>
      </c>
      <c r="C270" s="8161" t="s">
        <v>2481</v>
      </c>
      <c r="D270" s="8161" t="s">
        <v>2482</v>
      </c>
      <c r="E270" s="8161" t="s">
        <v>2483</v>
      </c>
      <c r="F270" s="8161" t="s">
        <v>2484</v>
      </c>
      <c r="G270" s="8161" t="s">
        <v>24</v>
      </c>
      <c r="H270" s="8161" t="s">
        <v>2485</v>
      </c>
      <c r="I270" s="8161" t="s">
        <v>874</v>
      </c>
    </row>
    <row customHeight="1" ht="11.25">
      <c r="A271" s="8161" t="s">
        <v>2279</v>
      </c>
      <c r="B271" s="8161" t="s">
        <v>14</v>
      </c>
      <c r="C271" s="8161" t="s">
        <v>2486</v>
      </c>
      <c r="D271" s="8161" t="s">
        <v>2482</v>
      </c>
      <c r="E271" s="8161" t="s">
        <v>2483</v>
      </c>
      <c r="F271" s="8161" t="s">
        <v>2484</v>
      </c>
      <c r="G271" s="8161" t="s">
        <v>24</v>
      </c>
      <c r="H271" s="8161" t="s">
        <v>24</v>
      </c>
      <c r="I271" s="8161" t="s">
        <v>874</v>
      </c>
    </row>
    <row customHeight="1" ht="11.25">
      <c r="A272" s="8161" t="s">
        <v>2279</v>
      </c>
      <c r="B272" s="8161" t="s">
        <v>14</v>
      </c>
      <c r="C272" s="8161" t="s">
        <v>2487</v>
      </c>
      <c r="D272" s="8161" t="s">
        <v>2488</v>
      </c>
      <c r="E272" s="8161" t="s">
        <v>2489</v>
      </c>
      <c r="F272" s="8161" t="s">
        <v>2484</v>
      </c>
      <c r="G272" s="8161" t="s">
        <v>24</v>
      </c>
      <c r="H272" s="8161" t="s">
        <v>24</v>
      </c>
      <c r="I272" s="8161" t="s">
        <v>874</v>
      </c>
    </row>
    <row customHeight="1" ht="11.25">
      <c r="A273" s="8161" t="s">
        <v>2279</v>
      </c>
      <c r="B273" s="8161" t="s">
        <v>14</v>
      </c>
      <c r="C273" s="8161" t="s">
        <v>2490</v>
      </c>
      <c r="D273" s="8161" t="s">
        <v>2491</v>
      </c>
      <c r="E273" s="8161" t="s">
        <v>2492</v>
      </c>
      <c r="F273" s="8161" t="s">
        <v>2493</v>
      </c>
      <c r="G273" s="8161" t="s">
        <v>24</v>
      </c>
      <c r="H273" s="8161" t="s">
        <v>24</v>
      </c>
      <c r="I273" s="8161" t="s">
        <v>874</v>
      </c>
    </row>
    <row customHeight="1" ht="11.25">
      <c r="A274" s="8161" t="s">
        <v>2279</v>
      </c>
      <c r="B274" s="8161" t="s">
        <v>14</v>
      </c>
      <c r="C274" s="8161" t="s">
        <v>3009</v>
      </c>
      <c r="D274" s="8161" t="s">
        <v>3010</v>
      </c>
      <c r="E274" s="8161" t="s">
        <v>3011</v>
      </c>
      <c r="F274" s="8161" t="s">
        <v>2404</v>
      </c>
      <c r="G274" s="8161" t="s">
        <v>24</v>
      </c>
      <c r="H274" s="8161" t="s">
        <v>24</v>
      </c>
      <c r="I274" s="8161" t="s">
        <v>874</v>
      </c>
    </row>
    <row customHeight="1" ht="11.25">
      <c r="A275" s="8161" t="s">
        <v>2279</v>
      </c>
      <c r="B275" s="8161" t="s">
        <v>14</v>
      </c>
      <c r="C275" s="8161" t="s">
        <v>3012</v>
      </c>
      <c r="D275" s="8161" t="s">
        <v>3013</v>
      </c>
      <c r="E275" s="8161" t="s">
        <v>3014</v>
      </c>
      <c r="F275" s="8161" t="s">
        <v>2873</v>
      </c>
      <c r="G275" s="8161" t="s">
        <v>24</v>
      </c>
      <c r="H275" s="8161" t="s">
        <v>3015</v>
      </c>
      <c r="I275" s="8161" t="s">
        <v>874</v>
      </c>
    </row>
    <row customHeight="1" ht="11.25">
      <c r="A276" s="8161" t="s">
        <v>2279</v>
      </c>
      <c r="B276" s="8161" t="s">
        <v>14</v>
      </c>
      <c r="C276" s="8161" t="s">
        <v>3016</v>
      </c>
      <c r="D276" s="8161" t="s">
        <v>3017</v>
      </c>
      <c r="E276" s="8161" t="s">
        <v>3018</v>
      </c>
      <c r="F276" s="8161" t="s">
        <v>2430</v>
      </c>
      <c r="G276" s="8161" t="s">
        <v>3019</v>
      </c>
      <c r="H276" s="8161" t="s">
        <v>24</v>
      </c>
      <c r="I276" s="8161" t="s">
        <v>874</v>
      </c>
    </row>
    <row customHeight="1" ht="11.25">
      <c r="A277" s="8161" t="s">
        <v>2279</v>
      </c>
      <c r="B277" s="8161" t="s">
        <v>14</v>
      </c>
      <c r="C277" s="8161" t="s">
        <v>3020</v>
      </c>
      <c r="D277" s="8161" t="s">
        <v>3021</v>
      </c>
      <c r="E277" s="8161" t="s">
        <v>3022</v>
      </c>
      <c r="F277" s="8161" t="s">
        <v>2987</v>
      </c>
      <c r="G277" s="8161" t="s">
        <v>24</v>
      </c>
      <c r="H277" s="8161" t="s">
        <v>2457</v>
      </c>
      <c r="I277" s="8161" t="s">
        <v>874</v>
      </c>
    </row>
    <row customHeight="1" ht="11.25">
      <c r="A278" s="8161" t="s">
        <v>2279</v>
      </c>
      <c r="B278" s="8161" t="s">
        <v>14</v>
      </c>
      <c r="C278" s="8161" t="s">
        <v>3023</v>
      </c>
      <c r="D278" s="8161" t="s">
        <v>3024</v>
      </c>
      <c r="E278" s="8161" t="s">
        <v>3025</v>
      </c>
      <c r="F278" s="8161" t="s">
        <v>2873</v>
      </c>
      <c r="G278" s="8161" t="s">
        <v>24</v>
      </c>
      <c r="H278" s="8161" t="s">
        <v>3026</v>
      </c>
      <c r="I278" s="8161" t="s">
        <v>874</v>
      </c>
    </row>
    <row customHeight="1" ht="11.25">
      <c r="A279" s="8161" t="s">
        <v>2279</v>
      </c>
      <c r="B279" s="8161" t="s">
        <v>14</v>
      </c>
      <c r="C279" s="8161" t="s">
        <v>2494</v>
      </c>
      <c r="D279" s="8161" t="s">
        <v>2495</v>
      </c>
      <c r="E279" s="8161" t="s">
        <v>2496</v>
      </c>
      <c r="F279" s="8161" t="s">
        <v>2339</v>
      </c>
      <c r="G279" s="8161" t="s">
        <v>24</v>
      </c>
      <c r="H279" s="8161" t="s">
        <v>24</v>
      </c>
      <c r="I279" s="8161" t="s">
        <v>874</v>
      </c>
    </row>
    <row customHeight="1" ht="11.25">
      <c r="A280" s="8161" t="s">
        <v>2279</v>
      </c>
      <c r="B280" s="8161" t="s">
        <v>14</v>
      </c>
      <c r="C280" s="8161" t="s">
        <v>3027</v>
      </c>
      <c r="D280" s="8161" t="s">
        <v>3028</v>
      </c>
      <c r="E280" s="8161" t="s">
        <v>3029</v>
      </c>
      <c r="F280" s="8161" t="s">
        <v>2367</v>
      </c>
      <c r="G280" s="8161" t="s">
        <v>24</v>
      </c>
      <c r="H280" s="8161" t="s">
        <v>3030</v>
      </c>
      <c r="I280" s="8161" t="s">
        <v>874</v>
      </c>
    </row>
    <row customHeight="1" ht="11.25">
      <c r="A281" s="8161" t="s">
        <v>2279</v>
      </c>
      <c r="B281" s="8161" t="s">
        <v>14</v>
      </c>
      <c r="C281" s="8161" t="s">
        <v>3031</v>
      </c>
      <c r="D281" s="8161" t="s">
        <v>3032</v>
      </c>
      <c r="E281" s="8161" t="s">
        <v>3033</v>
      </c>
      <c r="F281" s="8161" t="s">
        <v>2968</v>
      </c>
      <c r="G281" s="8161" t="s">
        <v>24</v>
      </c>
      <c r="H281" s="8161" t="s">
        <v>24</v>
      </c>
      <c r="I281" s="8161" t="s">
        <v>874</v>
      </c>
    </row>
    <row customHeight="1" ht="11.25">
      <c r="A282" s="8161" t="s">
        <v>2279</v>
      </c>
      <c r="B282" s="8161" t="s">
        <v>14</v>
      </c>
      <c r="C282" s="8161" t="s">
        <v>2497</v>
      </c>
      <c r="D282" s="8161" t="s">
        <v>2498</v>
      </c>
      <c r="E282" s="8161" t="s">
        <v>2499</v>
      </c>
      <c r="F282" s="8161" t="s">
        <v>2480</v>
      </c>
      <c r="G282" s="8161" t="s">
        <v>24</v>
      </c>
      <c r="H282" s="8161" t="s">
        <v>24</v>
      </c>
      <c r="I282" s="8161" t="s">
        <v>874</v>
      </c>
    </row>
    <row customHeight="1" ht="11.25">
      <c r="A283" s="8161" t="s">
        <v>2279</v>
      </c>
      <c r="B283" s="8161" t="s">
        <v>14</v>
      </c>
      <c r="C283" s="8161" t="s">
        <v>3034</v>
      </c>
      <c r="D283" s="8161" t="s">
        <v>3035</v>
      </c>
      <c r="E283" s="8161" t="s">
        <v>3036</v>
      </c>
      <c r="F283" s="8161" t="s">
        <v>3037</v>
      </c>
      <c r="G283" s="8161" t="s">
        <v>24</v>
      </c>
      <c r="H283" s="8161" t="s">
        <v>2457</v>
      </c>
      <c r="I283" s="8161" t="s">
        <v>874</v>
      </c>
    </row>
    <row customHeight="1" ht="11.25">
      <c r="A284" s="8161" t="s">
        <v>2279</v>
      </c>
      <c r="B284" s="8161" t="s">
        <v>14</v>
      </c>
      <c r="C284" s="8161" t="s">
        <v>3038</v>
      </c>
      <c r="D284" s="8161" t="s">
        <v>3039</v>
      </c>
      <c r="E284" s="8161" t="s">
        <v>3040</v>
      </c>
      <c r="F284" s="8161" t="s">
        <v>2418</v>
      </c>
      <c r="G284" s="8161" t="s">
        <v>24</v>
      </c>
      <c r="H284" s="8161" t="s">
        <v>2457</v>
      </c>
      <c r="I284" s="8161" t="s">
        <v>874</v>
      </c>
    </row>
    <row customHeight="1" ht="11.25">
      <c r="A285" s="8161" t="s">
        <v>2279</v>
      </c>
      <c r="B285" s="8161" t="s">
        <v>14</v>
      </c>
      <c r="C285" s="8161" t="s">
        <v>3041</v>
      </c>
      <c r="D285" s="8161" t="s">
        <v>3042</v>
      </c>
      <c r="E285" s="8161" t="s">
        <v>3043</v>
      </c>
      <c r="F285" s="8161" t="s">
        <v>3044</v>
      </c>
      <c r="G285" s="8161" t="s">
        <v>24</v>
      </c>
      <c r="H285" s="8161" t="s">
        <v>2449</v>
      </c>
      <c r="I285" s="8161" t="s">
        <v>874</v>
      </c>
    </row>
    <row customHeight="1" ht="11.25">
      <c r="A286" s="8161" t="s">
        <v>2279</v>
      </c>
      <c r="B286" s="8161" t="s">
        <v>14</v>
      </c>
      <c r="C286" s="8161" t="s">
        <v>3045</v>
      </c>
      <c r="D286" s="8161" t="s">
        <v>3046</v>
      </c>
      <c r="E286" s="8161" t="s">
        <v>3047</v>
      </c>
      <c r="F286" s="8161" t="s">
        <v>2968</v>
      </c>
      <c r="G286" s="8161" t="s">
        <v>24</v>
      </c>
      <c r="H286" s="8161" t="s">
        <v>3030</v>
      </c>
      <c r="I286" s="8161" t="s">
        <v>874</v>
      </c>
    </row>
    <row customHeight="1" ht="11.25">
      <c r="A287" s="8161" t="s">
        <v>2279</v>
      </c>
      <c r="B287" s="8161" t="s">
        <v>14</v>
      </c>
      <c r="C287" s="8161" t="s">
        <v>3048</v>
      </c>
      <c r="D287" s="8161" t="s">
        <v>3049</v>
      </c>
      <c r="E287" s="8161" t="s">
        <v>3050</v>
      </c>
      <c r="F287" s="8161" t="s">
        <v>2968</v>
      </c>
      <c r="G287" s="8161" t="s">
        <v>24</v>
      </c>
      <c r="H287" s="8161" t="s">
        <v>2457</v>
      </c>
      <c r="I287" s="8161" t="s">
        <v>874</v>
      </c>
    </row>
    <row customHeight="1" ht="11.25">
      <c r="A288" s="8161" t="s">
        <v>2279</v>
      </c>
      <c r="B288" s="8161" t="s">
        <v>14</v>
      </c>
      <c r="C288" s="8161" t="s">
        <v>3051</v>
      </c>
      <c r="D288" s="8161" t="s">
        <v>3052</v>
      </c>
      <c r="E288" s="8161" t="s">
        <v>3053</v>
      </c>
      <c r="F288" s="8161" t="s">
        <v>2367</v>
      </c>
      <c r="G288" s="8161" t="s">
        <v>24</v>
      </c>
      <c r="H288" s="8161" t="s">
        <v>24</v>
      </c>
      <c r="I288" s="8161" t="s">
        <v>874</v>
      </c>
    </row>
    <row customHeight="1" ht="11.25">
      <c r="A289" s="8161" t="s">
        <v>2279</v>
      </c>
      <c r="B289" s="8161" t="s">
        <v>14</v>
      </c>
      <c r="C289" s="8161" t="s">
        <v>3054</v>
      </c>
      <c r="D289" s="8161" t="s">
        <v>3055</v>
      </c>
      <c r="E289" s="8161" t="s">
        <v>3056</v>
      </c>
      <c r="F289" s="8161" t="s">
        <v>2873</v>
      </c>
      <c r="G289" s="8161" t="s">
        <v>24</v>
      </c>
      <c r="H289" s="8161" t="s">
        <v>24</v>
      </c>
      <c r="I289" s="8161" t="s">
        <v>874</v>
      </c>
    </row>
    <row customHeight="1" ht="11.25">
      <c r="A290" s="8161" t="s">
        <v>2279</v>
      </c>
      <c r="B290" s="8161" t="s">
        <v>14</v>
      </c>
      <c r="C290" s="8161" t="s">
        <v>3057</v>
      </c>
      <c r="D290" s="8161" t="s">
        <v>3058</v>
      </c>
      <c r="E290" s="8161" t="s">
        <v>3059</v>
      </c>
      <c r="F290" s="8161" t="s">
        <v>2296</v>
      </c>
      <c r="G290" s="8161" t="s">
        <v>24</v>
      </c>
      <c r="H290" s="8161" t="s">
        <v>24</v>
      </c>
      <c r="I290" s="8161" t="s">
        <v>874</v>
      </c>
    </row>
    <row customHeight="1" ht="11.25">
      <c r="A291" s="8161" t="s">
        <v>2279</v>
      </c>
      <c r="B291" s="8161" t="s">
        <v>14</v>
      </c>
      <c r="C291" s="8161" t="s">
        <v>2500</v>
      </c>
      <c r="D291" s="8161" t="s">
        <v>2501</v>
      </c>
      <c r="E291" s="8161" t="s">
        <v>2502</v>
      </c>
      <c r="F291" s="8161" t="s">
        <v>2418</v>
      </c>
      <c r="G291" s="8161" t="s">
        <v>24</v>
      </c>
      <c r="H291" s="8161" t="s">
        <v>24</v>
      </c>
      <c r="I291" s="8161" t="s">
        <v>874</v>
      </c>
    </row>
    <row customHeight="1" ht="11.25">
      <c r="A292" s="8161" t="s">
        <v>2279</v>
      </c>
      <c r="B292" s="8161" t="s">
        <v>14</v>
      </c>
      <c r="C292" s="8161" t="s">
        <v>3060</v>
      </c>
      <c r="D292" s="8161" t="s">
        <v>3061</v>
      </c>
      <c r="E292" s="8161" t="s">
        <v>3062</v>
      </c>
      <c r="F292" s="8161" t="s">
        <v>2873</v>
      </c>
      <c r="G292" s="8161" t="s">
        <v>24</v>
      </c>
      <c r="H292" s="8161" t="s">
        <v>24</v>
      </c>
      <c r="I292" s="8161" t="s">
        <v>874</v>
      </c>
    </row>
    <row customHeight="1" ht="11.25">
      <c r="A293" s="8161" t="s">
        <v>2279</v>
      </c>
      <c r="B293" s="8161" t="s">
        <v>14</v>
      </c>
      <c r="C293" s="8161" t="s">
        <v>3063</v>
      </c>
      <c r="D293" s="8161" t="s">
        <v>3064</v>
      </c>
      <c r="E293" s="8161" t="s">
        <v>3065</v>
      </c>
      <c r="F293" s="8161" t="s">
        <v>2473</v>
      </c>
      <c r="G293" s="8161" t="s">
        <v>24</v>
      </c>
      <c r="H293" s="8161" t="s">
        <v>3066</v>
      </c>
      <c r="I293" s="8161" t="s">
        <v>874</v>
      </c>
    </row>
    <row customHeight="1" ht="11.25">
      <c r="A294" s="8161" t="s">
        <v>2279</v>
      </c>
      <c r="B294" s="8161" t="s">
        <v>14</v>
      </c>
      <c r="C294" s="8161" t="s">
        <v>3067</v>
      </c>
      <c r="D294" s="8161" t="s">
        <v>3068</v>
      </c>
      <c r="E294" s="8161" t="s">
        <v>3069</v>
      </c>
      <c r="F294" s="8161" t="s">
        <v>2473</v>
      </c>
      <c r="G294" s="8161" t="s">
        <v>24</v>
      </c>
      <c r="H294" s="8161" t="s">
        <v>2457</v>
      </c>
      <c r="I294" s="8161" t="s">
        <v>874</v>
      </c>
    </row>
    <row customHeight="1" ht="11.25">
      <c r="A295" s="8161" t="s">
        <v>2279</v>
      </c>
      <c r="B295" s="8161" t="s">
        <v>14</v>
      </c>
      <c r="C295" s="8161" t="s">
        <v>3070</v>
      </c>
      <c r="D295" s="8161" t="s">
        <v>3071</v>
      </c>
      <c r="E295" s="8161" t="s">
        <v>3072</v>
      </c>
      <c r="F295" s="8161" t="s">
        <v>2367</v>
      </c>
      <c r="G295" s="8161" t="s">
        <v>3073</v>
      </c>
      <c r="H295" s="8161" t="s">
        <v>24</v>
      </c>
      <c r="I295" s="8161" t="s">
        <v>874</v>
      </c>
    </row>
    <row customHeight="1" ht="11.25">
      <c r="A296" s="8161" t="s">
        <v>2279</v>
      </c>
      <c r="B296" s="8161" t="s">
        <v>14</v>
      </c>
      <c r="C296" s="8161" t="s">
        <v>2503</v>
      </c>
      <c r="D296" s="8161" t="s">
        <v>2504</v>
      </c>
      <c r="E296" s="8161" t="s">
        <v>2505</v>
      </c>
      <c r="F296" s="8161" t="s">
        <v>48</v>
      </c>
      <c r="G296" s="8161" t="s">
        <v>24</v>
      </c>
      <c r="H296" s="8161" t="s">
        <v>24</v>
      </c>
      <c r="I296" s="8161" t="s">
        <v>874</v>
      </c>
    </row>
    <row customHeight="1" ht="11.25">
      <c r="A297" s="8161" t="s">
        <v>2279</v>
      </c>
      <c r="B297" s="8161" t="s">
        <v>14</v>
      </c>
      <c r="C297" s="8161" t="s">
        <v>3074</v>
      </c>
      <c r="D297" s="8161" t="s">
        <v>3075</v>
      </c>
      <c r="E297" s="8161" t="s">
        <v>3076</v>
      </c>
      <c r="F297" s="8161" t="s">
        <v>2418</v>
      </c>
      <c r="G297" s="8161" t="s">
        <v>24</v>
      </c>
      <c r="H297" s="8161" t="s">
        <v>2457</v>
      </c>
      <c r="I297" s="8161" t="s">
        <v>874</v>
      </c>
    </row>
    <row customHeight="1" ht="11.25">
      <c r="A298" s="8161" t="s">
        <v>2279</v>
      </c>
      <c r="B298" s="8161" t="s">
        <v>14</v>
      </c>
      <c r="C298" s="8161" t="s">
        <v>2513</v>
      </c>
      <c r="D298" s="8161" t="s">
        <v>2514</v>
      </c>
      <c r="E298" s="8161" t="s">
        <v>2515</v>
      </c>
      <c r="F298" s="8161" t="s">
        <v>2516</v>
      </c>
      <c r="G298" s="8161" t="s">
        <v>24</v>
      </c>
      <c r="H298" s="8161" t="s">
        <v>24</v>
      </c>
      <c r="I298" s="8161" t="s">
        <v>874</v>
      </c>
    </row>
    <row customHeight="1" ht="11.25">
      <c r="A299" s="8161" t="s">
        <v>2279</v>
      </c>
      <c r="B299" s="8161" t="s">
        <v>14</v>
      </c>
      <c r="C299" s="8161" t="s">
        <v>3077</v>
      </c>
      <c r="D299" s="8161" t="s">
        <v>3078</v>
      </c>
      <c r="E299" s="8161" t="s">
        <v>3079</v>
      </c>
      <c r="F299" s="8161" t="s">
        <v>48</v>
      </c>
      <c r="G299" s="8161" t="s">
        <v>24</v>
      </c>
      <c r="H299" s="8161" t="s">
        <v>3080</v>
      </c>
      <c r="I299" s="8161" t="s">
        <v>874</v>
      </c>
    </row>
    <row customHeight="1" ht="11.25">
      <c r="A300" s="8161" t="s">
        <v>2279</v>
      </c>
      <c r="B300" s="8161" t="s">
        <v>14</v>
      </c>
      <c r="C300" s="8161" t="s">
        <v>3081</v>
      </c>
      <c r="D300" s="8161" t="s">
        <v>3082</v>
      </c>
      <c r="E300" s="8161" t="s">
        <v>2318</v>
      </c>
      <c r="F300" s="8161" t="s">
        <v>3083</v>
      </c>
      <c r="G300" s="8161" t="s">
        <v>24</v>
      </c>
      <c r="H300" s="8161" t="s">
        <v>24</v>
      </c>
      <c r="I300" s="8161" t="s">
        <v>874</v>
      </c>
    </row>
    <row customHeight="1" ht="11.25">
      <c r="A301" s="8161" t="s">
        <v>2279</v>
      </c>
      <c r="B301" s="8161" t="s">
        <v>14</v>
      </c>
      <c r="C301" s="8161" t="s">
        <v>2520</v>
      </c>
      <c r="D301" s="8161" t="s">
        <v>2521</v>
      </c>
      <c r="E301" s="8161" t="s">
        <v>2522</v>
      </c>
      <c r="F301" s="8161" t="s">
        <v>2315</v>
      </c>
      <c r="G301" s="8161" t="s">
        <v>24</v>
      </c>
      <c r="H301" s="8161" t="s">
        <v>2311</v>
      </c>
      <c r="I301" s="8161" t="s">
        <v>874</v>
      </c>
    </row>
    <row customHeight="1" ht="11.25">
      <c r="A302" s="8161" t="s">
        <v>2279</v>
      </c>
      <c r="B302" s="8161" t="s">
        <v>14</v>
      </c>
      <c r="C302" s="8161" t="s">
        <v>3084</v>
      </c>
      <c r="D302" s="8161" t="s">
        <v>3085</v>
      </c>
      <c r="E302" s="8161" t="s">
        <v>3086</v>
      </c>
      <c r="F302" s="8161" t="s">
        <v>2296</v>
      </c>
      <c r="G302" s="8161" t="s">
        <v>24</v>
      </c>
      <c r="H302" s="8161" t="s">
        <v>24</v>
      </c>
      <c r="I302" s="8161" t="s">
        <v>874</v>
      </c>
    </row>
    <row customHeight="1" ht="11.25">
      <c r="A303" s="8161" t="s">
        <v>2279</v>
      </c>
      <c r="B303" s="8161" t="s">
        <v>14</v>
      </c>
      <c r="C303" s="8161" t="s">
        <v>2538</v>
      </c>
      <c r="D303" s="8161" t="s">
        <v>2539</v>
      </c>
      <c r="E303" s="8161" t="s">
        <v>2540</v>
      </c>
      <c r="F303" s="8161" t="s">
        <v>2484</v>
      </c>
      <c r="G303" s="8161" t="s">
        <v>24</v>
      </c>
      <c r="H303" s="8161" t="s">
        <v>24</v>
      </c>
      <c r="I303" s="8161" t="s">
        <v>874</v>
      </c>
    </row>
    <row customHeight="1" ht="11.25">
      <c r="A304" s="8161" t="s">
        <v>2279</v>
      </c>
      <c r="B304" s="8161" t="s">
        <v>14</v>
      </c>
      <c r="C304" s="8161" t="s">
        <v>3087</v>
      </c>
      <c r="D304" s="8161" t="s">
        <v>3088</v>
      </c>
      <c r="E304" s="8161" t="s">
        <v>3089</v>
      </c>
      <c r="F304" s="8161" t="s">
        <v>2697</v>
      </c>
      <c r="G304" s="8161" t="s">
        <v>3090</v>
      </c>
      <c r="H304" s="8161" t="s">
        <v>24</v>
      </c>
      <c r="I304" s="8161" t="s">
        <v>874</v>
      </c>
    </row>
    <row customHeight="1" ht="11.25">
      <c r="A305" s="8161" t="s">
        <v>2279</v>
      </c>
      <c r="B305" s="8161" t="s">
        <v>14</v>
      </c>
      <c r="C305" s="8161" t="s">
        <v>3091</v>
      </c>
      <c r="D305" s="8161" t="s">
        <v>3092</v>
      </c>
      <c r="E305" s="8161" t="s">
        <v>3093</v>
      </c>
      <c r="F305" s="8161" t="s">
        <v>3094</v>
      </c>
      <c r="G305" s="8161" t="s">
        <v>24</v>
      </c>
      <c r="H305" s="8161" t="s">
        <v>3095</v>
      </c>
      <c r="I305" s="8161" t="s">
        <v>874</v>
      </c>
    </row>
    <row customHeight="1" ht="11.25">
      <c r="A306" s="8161" t="s">
        <v>2279</v>
      </c>
      <c r="B306" s="8161" t="s">
        <v>14</v>
      </c>
      <c r="C306" s="8161" t="s">
        <v>3096</v>
      </c>
      <c r="D306" s="8161" t="s">
        <v>3097</v>
      </c>
      <c r="E306" s="8161" t="s">
        <v>3098</v>
      </c>
      <c r="F306" s="8161" t="s">
        <v>2438</v>
      </c>
      <c r="G306" s="8161" t="s">
        <v>24</v>
      </c>
      <c r="H306" s="8161" t="s">
        <v>3099</v>
      </c>
      <c r="I306" s="8161" t="s">
        <v>874</v>
      </c>
    </row>
    <row customHeight="1" ht="11.25">
      <c r="A307" s="8161" t="s">
        <v>2279</v>
      </c>
      <c r="B307" s="8161" t="s">
        <v>14</v>
      </c>
      <c r="C307" s="8161" t="s">
        <v>3100</v>
      </c>
      <c r="D307" s="8161" t="s">
        <v>3101</v>
      </c>
      <c r="E307" s="8161" t="s">
        <v>3102</v>
      </c>
      <c r="F307" s="8161" t="s">
        <v>3094</v>
      </c>
      <c r="G307" s="8161" t="s">
        <v>24</v>
      </c>
      <c r="H307" s="8161" t="s">
        <v>24</v>
      </c>
      <c r="I307" s="8161" t="s">
        <v>874</v>
      </c>
    </row>
    <row customHeight="1" ht="11.25">
      <c r="A308" s="8161" t="s">
        <v>2279</v>
      </c>
      <c r="B308" s="8161" t="s">
        <v>14</v>
      </c>
      <c r="C308" s="8161" t="s">
        <v>3103</v>
      </c>
      <c r="D308" s="8161" t="s">
        <v>3104</v>
      </c>
      <c r="E308" s="8161" t="s">
        <v>3105</v>
      </c>
      <c r="F308" s="8161" t="s">
        <v>3106</v>
      </c>
      <c r="G308" s="8161" t="s">
        <v>24</v>
      </c>
      <c r="H308" s="8161" t="s">
        <v>3107</v>
      </c>
      <c r="I308" s="8161" t="s">
        <v>874</v>
      </c>
    </row>
    <row customHeight="1" ht="11.25">
      <c r="A309" s="8161" t="s">
        <v>2279</v>
      </c>
      <c r="B309" s="8161" t="s">
        <v>14</v>
      </c>
      <c r="C309" s="8161" t="s">
        <v>3108</v>
      </c>
      <c r="D309" s="8161" t="s">
        <v>3109</v>
      </c>
      <c r="E309" s="8161" t="s">
        <v>3110</v>
      </c>
      <c r="F309" s="8161" t="s">
        <v>2300</v>
      </c>
      <c r="G309" s="8161" t="s">
        <v>3111</v>
      </c>
      <c r="H309" s="8161" t="s">
        <v>24</v>
      </c>
      <c r="I309" s="8161" t="s">
        <v>874</v>
      </c>
    </row>
    <row customHeight="1" ht="11.25">
      <c r="A310" s="8161" t="s">
        <v>2279</v>
      </c>
      <c r="B310" s="8161" t="s">
        <v>14</v>
      </c>
      <c r="C310" s="8161" t="s">
        <v>3112</v>
      </c>
      <c r="D310" s="8161" t="s">
        <v>3113</v>
      </c>
      <c r="E310" s="8161" t="s">
        <v>3114</v>
      </c>
      <c r="F310" s="8161" t="s">
        <v>2283</v>
      </c>
      <c r="G310" s="8161" t="s">
        <v>24</v>
      </c>
      <c r="H310" s="8161" t="s">
        <v>24</v>
      </c>
      <c r="I310" s="8161" t="s">
        <v>874</v>
      </c>
    </row>
    <row customHeight="1" ht="11.25">
      <c r="A311" s="8161" t="s">
        <v>2279</v>
      </c>
      <c r="B311" s="8161" t="s">
        <v>14</v>
      </c>
      <c r="C311" s="8161" t="s">
        <v>3115</v>
      </c>
      <c r="D311" s="8161" t="s">
        <v>3116</v>
      </c>
      <c r="E311" s="8161" t="s">
        <v>3117</v>
      </c>
      <c r="F311" s="8161" t="s">
        <v>3106</v>
      </c>
      <c r="G311" s="8161" t="s">
        <v>24</v>
      </c>
      <c r="H311" s="8161" t="s">
        <v>24</v>
      </c>
      <c r="I311" s="8161" t="s">
        <v>874</v>
      </c>
    </row>
    <row customHeight="1" ht="11.25">
      <c r="A312" s="8161" t="s">
        <v>2279</v>
      </c>
      <c r="B312" s="8161" t="s">
        <v>14</v>
      </c>
      <c r="C312" s="8161" t="s">
        <v>3118</v>
      </c>
      <c r="D312" s="8161" t="s">
        <v>3119</v>
      </c>
      <c r="E312" s="8161" t="s">
        <v>3120</v>
      </c>
      <c r="F312" s="8161" t="s">
        <v>2468</v>
      </c>
      <c r="G312" s="8161" t="s">
        <v>24</v>
      </c>
      <c r="H312" s="8161" t="s">
        <v>24</v>
      </c>
      <c r="I312" s="8161" t="s">
        <v>874</v>
      </c>
    </row>
    <row customHeight="1" ht="11.25">
      <c r="A313" s="8161" t="s">
        <v>2279</v>
      </c>
      <c r="B313" s="8161" t="s">
        <v>14</v>
      </c>
      <c r="C313" s="8161" t="s">
        <v>3121</v>
      </c>
      <c r="D313" s="8161" t="s">
        <v>3122</v>
      </c>
      <c r="E313" s="8161" t="s">
        <v>3123</v>
      </c>
      <c r="F313" s="8161" t="s">
        <v>2873</v>
      </c>
      <c r="G313" s="8161" t="s">
        <v>3124</v>
      </c>
      <c r="H313" s="8161" t="s">
        <v>24</v>
      </c>
      <c r="I313" s="8161" t="s">
        <v>874</v>
      </c>
    </row>
    <row customHeight="1" ht="11.25">
      <c r="A314" s="8161" t="s">
        <v>2279</v>
      </c>
      <c r="B314" s="8161" t="s">
        <v>14</v>
      </c>
      <c r="C314" s="8161" t="s">
        <v>2557</v>
      </c>
      <c r="D314" s="8161" t="s">
        <v>2558</v>
      </c>
      <c r="E314" s="8161" t="s">
        <v>2559</v>
      </c>
      <c r="F314" s="8161" t="s">
        <v>2560</v>
      </c>
      <c r="G314" s="8161" t="s">
        <v>2561</v>
      </c>
      <c r="H314" s="8161" t="s">
        <v>24</v>
      </c>
      <c r="I314" s="8161" t="s">
        <v>874</v>
      </c>
    </row>
    <row customHeight="1" ht="11.25">
      <c r="A315" s="8161" t="s">
        <v>2279</v>
      </c>
      <c r="B315" s="8161" t="s">
        <v>14</v>
      </c>
      <c r="C315" s="8161" t="s">
        <v>3125</v>
      </c>
      <c r="D315" s="8161" t="s">
        <v>3126</v>
      </c>
      <c r="E315" s="8161" t="s">
        <v>3127</v>
      </c>
      <c r="F315" s="8161" t="s">
        <v>2339</v>
      </c>
      <c r="G315" s="8161" t="s">
        <v>24</v>
      </c>
      <c r="H315" s="8161" t="s">
        <v>24</v>
      </c>
      <c r="I315" s="8161" t="s">
        <v>874</v>
      </c>
    </row>
    <row customHeight="1" ht="11.25">
      <c r="A316" s="8161" t="s">
        <v>2279</v>
      </c>
      <c r="B316" s="8161" t="s">
        <v>14</v>
      </c>
      <c r="C316" s="8161" t="s">
        <v>3128</v>
      </c>
      <c r="D316" s="8161" t="s">
        <v>3129</v>
      </c>
      <c r="E316" s="8161" t="s">
        <v>3130</v>
      </c>
      <c r="F316" s="8161" t="s">
        <v>2560</v>
      </c>
      <c r="G316" s="8161" t="s">
        <v>24</v>
      </c>
      <c r="H316" s="8161" t="s">
        <v>24</v>
      </c>
      <c r="I316" s="8161" t="s">
        <v>874</v>
      </c>
    </row>
    <row customHeight="1" ht="11.25">
      <c r="A317" s="8161" t="s">
        <v>2279</v>
      </c>
      <c r="B317" s="8161" t="s">
        <v>14</v>
      </c>
      <c r="C317" s="8161" t="s">
        <v>3131</v>
      </c>
      <c r="D317" s="8161" t="s">
        <v>3132</v>
      </c>
      <c r="E317" s="8161" t="s">
        <v>3133</v>
      </c>
      <c r="F317" s="8161" t="s">
        <v>2438</v>
      </c>
      <c r="G317" s="8161" t="s">
        <v>24</v>
      </c>
      <c r="H317" s="8161" t="s">
        <v>3134</v>
      </c>
      <c r="I317" s="8161" t="s">
        <v>874</v>
      </c>
    </row>
    <row customHeight="1" ht="11.25">
      <c r="A318" s="8161" t="s">
        <v>2279</v>
      </c>
      <c r="B318" s="8161" t="s">
        <v>14</v>
      </c>
      <c r="C318" s="8161" t="s">
        <v>3135</v>
      </c>
      <c r="D318" s="8161" t="s">
        <v>3136</v>
      </c>
      <c r="E318" s="8161" t="s">
        <v>3137</v>
      </c>
      <c r="F318" s="8161" t="s">
        <v>2367</v>
      </c>
      <c r="G318" s="8161" t="s">
        <v>24</v>
      </c>
      <c r="H318" s="8161" t="s">
        <v>3138</v>
      </c>
      <c r="I318" s="8161" t="s">
        <v>874</v>
      </c>
    </row>
    <row customHeight="1" ht="11.25">
      <c r="A319" s="8161" t="s">
        <v>2279</v>
      </c>
      <c r="B319" s="8161" t="s">
        <v>14</v>
      </c>
      <c r="C319" s="8161" t="s">
        <v>3139</v>
      </c>
      <c r="D319" s="8161" t="s">
        <v>3140</v>
      </c>
      <c r="E319" s="8161" t="s">
        <v>3141</v>
      </c>
      <c r="F319" s="8161" t="s">
        <v>2287</v>
      </c>
      <c r="G319" s="8161" t="s">
        <v>24</v>
      </c>
      <c r="H319" s="8161" t="s">
        <v>24</v>
      </c>
      <c r="I319" s="8161" t="s">
        <v>874</v>
      </c>
    </row>
    <row customHeight="1" ht="11.25">
      <c r="A320" s="8161" t="s">
        <v>2279</v>
      </c>
      <c r="B320" s="8161" t="s">
        <v>14</v>
      </c>
      <c r="C320" s="8161" t="s">
        <v>2596</v>
      </c>
      <c r="D320" s="8161" t="s">
        <v>2597</v>
      </c>
      <c r="E320" s="8161" t="s">
        <v>2598</v>
      </c>
      <c r="F320" s="8161" t="s">
        <v>2599</v>
      </c>
      <c r="G320" s="8161" t="s">
        <v>24</v>
      </c>
      <c r="H320" s="8161" t="s">
        <v>24</v>
      </c>
      <c r="I320" s="8161" t="s">
        <v>874</v>
      </c>
    </row>
    <row customHeight="1" ht="11.25">
      <c r="A321" s="8161" t="s">
        <v>2279</v>
      </c>
      <c r="B321" s="8161" t="s">
        <v>14</v>
      </c>
      <c r="C321" s="8161" t="s">
        <v>3142</v>
      </c>
      <c r="D321" s="8161" t="s">
        <v>3143</v>
      </c>
      <c r="E321" s="8161" t="s">
        <v>3144</v>
      </c>
      <c r="F321" s="8161" t="s">
        <v>2296</v>
      </c>
      <c r="G321" s="8161" t="s">
        <v>24</v>
      </c>
      <c r="H321" s="8161" t="s">
        <v>24</v>
      </c>
      <c r="I321" s="8161" t="s">
        <v>874</v>
      </c>
    </row>
    <row customHeight="1" ht="11.25">
      <c r="A322" s="8161" t="s">
        <v>2279</v>
      </c>
      <c r="B322" s="8161" t="s">
        <v>14</v>
      </c>
      <c r="C322" s="8161" t="s">
        <v>3145</v>
      </c>
      <c r="D322" s="8161" t="s">
        <v>3146</v>
      </c>
      <c r="E322" s="8161" t="s">
        <v>3147</v>
      </c>
      <c r="F322" s="8161" t="s">
        <v>2283</v>
      </c>
      <c r="G322" s="8161" t="s">
        <v>24</v>
      </c>
      <c r="H322" s="8161" t="s">
        <v>3148</v>
      </c>
      <c r="I322" s="8161" t="s">
        <v>874</v>
      </c>
    </row>
    <row customHeight="1" ht="11.25">
      <c r="A323" s="8161" t="s">
        <v>2279</v>
      </c>
      <c r="B323" s="8161" t="s">
        <v>14</v>
      </c>
      <c r="C323" s="8161" t="s">
        <v>3149</v>
      </c>
      <c r="D323" s="8161" t="s">
        <v>3150</v>
      </c>
      <c r="E323" s="8161" t="s">
        <v>3151</v>
      </c>
      <c r="F323" s="8161" t="s">
        <v>2283</v>
      </c>
      <c r="G323" s="8161" t="s">
        <v>24</v>
      </c>
      <c r="H323" s="8161" t="s">
        <v>2457</v>
      </c>
      <c r="I323" s="8161" t="s">
        <v>874</v>
      </c>
    </row>
    <row customHeight="1" ht="11.25">
      <c r="A324" s="8161" t="s">
        <v>2279</v>
      </c>
      <c r="B324" s="8161" t="s">
        <v>14</v>
      </c>
      <c r="C324" s="8161" t="s">
        <v>2600</v>
      </c>
      <c r="D324" s="8161" t="s">
        <v>2601</v>
      </c>
      <c r="E324" s="8161" t="s">
        <v>2602</v>
      </c>
      <c r="F324" s="8161" t="s">
        <v>2560</v>
      </c>
      <c r="G324" s="8161" t="s">
        <v>24</v>
      </c>
      <c r="H324" s="8161" t="s">
        <v>24</v>
      </c>
      <c r="I324" s="8161" t="s">
        <v>874</v>
      </c>
    </row>
    <row customHeight="1" ht="11.25">
      <c r="A325" s="8161" t="s">
        <v>2279</v>
      </c>
      <c r="B325" s="8161" t="s">
        <v>14</v>
      </c>
      <c r="C325" s="8161" t="s">
        <v>2606</v>
      </c>
      <c r="D325" s="8161" t="s">
        <v>2607</v>
      </c>
      <c r="E325" s="8161" t="s">
        <v>2608</v>
      </c>
      <c r="F325" s="8161" t="s">
        <v>2560</v>
      </c>
      <c r="G325" s="8161" t="s">
        <v>24</v>
      </c>
      <c r="H325" s="8161" t="s">
        <v>24</v>
      </c>
      <c r="I325" s="8161" t="s">
        <v>874</v>
      </c>
    </row>
    <row customHeight="1" ht="11.25">
      <c r="A326" s="8161" t="s">
        <v>2279</v>
      </c>
      <c r="B326" s="8161" t="s">
        <v>14</v>
      </c>
      <c r="C326" s="8161" t="s">
        <v>3152</v>
      </c>
      <c r="D326" s="8161" t="s">
        <v>3153</v>
      </c>
      <c r="E326" s="8161" t="s">
        <v>3154</v>
      </c>
      <c r="F326" s="8161" t="s">
        <v>2560</v>
      </c>
      <c r="G326" s="8161" t="s">
        <v>24</v>
      </c>
      <c r="H326" s="8161" t="s">
        <v>24</v>
      </c>
      <c r="I326" s="8161" t="s">
        <v>874</v>
      </c>
    </row>
    <row customHeight="1" ht="11.25">
      <c r="A327" s="8161" t="s">
        <v>2279</v>
      </c>
      <c r="B327" s="8161" t="s">
        <v>14</v>
      </c>
      <c r="C327" s="8161" t="s">
        <v>3155</v>
      </c>
      <c r="D327" s="8161" t="s">
        <v>3156</v>
      </c>
      <c r="E327" s="8161" t="s">
        <v>3157</v>
      </c>
      <c r="F327" s="8161" t="s">
        <v>2509</v>
      </c>
      <c r="G327" s="8161" t="s">
        <v>24</v>
      </c>
      <c r="H327" s="8161" t="s">
        <v>3158</v>
      </c>
      <c r="I327" s="8161" t="s">
        <v>874</v>
      </c>
    </row>
    <row customHeight="1" ht="11.25">
      <c r="A328" s="8161" t="s">
        <v>2279</v>
      </c>
      <c r="B328" s="8161" t="s">
        <v>14</v>
      </c>
      <c r="C328" s="8161" t="s">
        <v>3159</v>
      </c>
      <c r="D328" s="8161" t="s">
        <v>3160</v>
      </c>
      <c r="E328" s="8161" t="s">
        <v>3161</v>
      </c>
      <c r="F328" s="8161" t="s">
        <v>2418</v>
      </c>
      <c r="G328" s="8161" t="s">
        <v>3162</v>
      </c>
      <c r="H328" s="8161" t="s">
        <v>24</v>
      </c>
      <c r="I328" s="8161" t="s">
        <v>874</v>
      </c>
    </row>
    <row customHeight="1" ht="11.25">
      <c r="A329" s="8161" t="s">
        <v>2279</v>
      </c>
      <c r="B329" s="8161" t="s">
        <v>14</v>
      </c>
      <c r="C329" s="8161" t="s">
        <v>3163</v>
      </c>
      <c r="D329" s="8161" t="s">
        <v>3164</v>
      </c>
      <c r="E329" s="8161" t="s">
        <v>3165</v>
      </c>
      <c r="F329" s="8161" t="s">
        <v>2296</v>
      </c>
      <c r="G329" s="8161" t="s">
        <v>3166</v>
      </c>
      <c r="H329" s="8161" t="s">
        <v>24</v>
      </c>
      <c r="I329" s="8161" t="s">
        <v>874</v>
      </c>
    </row>
    <row customHeight="1" ht="11.25">
      <c r="A330" s="8161" t="s">
        <v>2279</v>
      </c>
      <c r="B330" s="8161" t="s">
        <v>14</v>
      </c>
      <c r="C330" s="8161" t="s">
        <v>3167</v>
      </c>
      <c r="D330" s="8161" t="s">
        <v>3168</v>
      </c>
      <c r="E330" s="8161" t="s">
        <v>3169</v>
      </c>
      <c r="F330" s="8161" t="s">
        <v>2438</v>
      </c>
      <c r="G330" s="8161" t="s">
        <v>24</v>
      </c>
      <c r="H330" s="8161" t="s">
        <v>24</v>
      </c>
      <c r="I330" s="8161" t="s">
        <v>874</v>
      </c>
    </row>
    <row customHeight="1" ht="11.25">
      <c r="A331" s="8161" t="s">
        <v>2279</v>
      </c>
      <c r="B331" s="8161" t="s">
        <v>14</v>
      </c>
      <c r="C331" s="8161" t="s">
        <v>3170</v>
      </c>
      <c r="D331" s="8161" t="s">
        <v>3171</v>
      </c>
      <c r="E331" s="8161" t="s">
        <v>3172</v>
      </c>
      <c r="F331" s="8161" t="s">
        <v>2873</v>
      </c>
      <c r="G331" s="8161" t="s">
        <v>3173</v>
      </c>
      <c r="H331" s="8161" t="s">
        <v>24</v>
      </c>
      <c r="I331" s="8161" t="s">
        <v>874</v>
      </c>
    </row>
    <row customHeight="1" ht="11.25">
      <c r="A332" s="8161" t="s">
        <v>2279</v>
      </c>
      <c r="B332" s="8161" t="s">
        <v>14</v>
      </c>
      <c r="C332" s="8161" t="s">
        <v>3174</v>
      </c>
      <c r="D332" s="8161" t="s">
        <v>3175</v>
      </c>
      <c r="E332" s="8161" t="s">
        <v>3176</v>
      </c>
      <c r="F332" s="8161" t="s">
        <v>2616</v>
      </c>
      <c r="G332" s="8161" t="s">
        <v>24</v>
      </c>
      <c r="H332" s="8161" t="s">
        <v>3177</v>
      </c>
      <c r="I332" s="8161" t="s">
        <v>874</v>
      </c>
    </row>
    <row customHeight="1" ht="11.25">
      <c r="A333" s="8161" t="s">
        <v>2279</v>
      </c>
      <c r="B333" s="8161" t="s">
        <v>14</v>
      </c>
      <c r="C333" s="8161" t="s">
        <v>3178</v>
      </c>
      <c r="D333" s="8161" t="s">
        <v>3179</v>
      </c>
      <c r="E333" s="8161" t="s">
        <v>3180</v>
      </c>
      <c r="F333" s="8161" t="s">
        <v>2359</v>
      </c>
      <c r="G333" s="8161" t="s">
        <v>3181</v>
      </c>
      <c r="H333" s="8161" t="s">
        <v>24</v>
      </c>
      <c r="I333" s="8161" t="s">
        <v>874</v>
      </c>
    </row>
    <row customHeight="1" ht="11.25">
      <c r="A334" s="8161" t="s">
        <v>2279</v>
      </c>
      <c r="B334" s="8161" t="s">
        <v>14</v>
      </c>
      <c r="C334" s="8161" t="s">
        <v>3182</v>
      </c>
      <c r="D334" s="8161" t="s">
        <v>3183</v>
      </c>
      <c r="E334" s="8161" t="s">
        <v>3184</v>
      </c>
      <c r="F334" s="8161" t="s">
        <v>2616</v>
      </c>
      <c r="G334" s="8161" t="s">
        <v>24</v>
      </c>
      <c r="H334" s="8161" t="s">
        <v>3134</v>
      </c>
      <c r="I334" s="8161" t="s">
        <v>874</v>
      </c>
    </row>
    <row customHeight="1" ht="11.25">
      <c r="A335" s="8161" t="s">
        <v>2279</v>
      </c>
      <c r="B335" s="8161" t="s">
        <v>14</v>
      </c>
      <c r="C335" s="8161" t="s">
        <v>3185</v>
      </c>
      <c r="D335" s="8161" t="s">
        <v>3186</v>
      </c>
      <c r="E335" s="8161" t="s">
        <v>3187</v>
      </c>
      <c r="F335" s="8161" t="s">
        <v>2574</v>
      </c>
      <c r="G335" s="8161" t="s">
        <v>24</v>
      </c>
      <c r="H335" s="8161" t="s">
        <v>3134</v>
      </c>
      <c r="I335" s="8161" t="s">
        <v>874</v>
      </c>
    </row>
    <row customHeight="1" ht="11.25">
      <c r="A336" s="8161" t="s">
        <v>2279</v>
      </c>
      <c r="B336" s="8161" t="s">
        <v>14</v>
      </c>
      <c r="C336" s="8161" t="s">
        <v>3188</v>
      </c>
      <c r="D336" s="8161" t="s">
        <v>3189</v>
      </c>
      <c r="E336" s="8161" t="s">
        <v>3190</v>
      </c>
      <c r="F336" s="8161" t="s">
        <v>2697</v>
      </c>
      <c r="G336" s="8161" t="s">
        <v>3191</v>
      </c>
      <c r="H336" s="8161" t="s">
        <v>24</v>
      </c>
      <c r="I336" s="8161" t="s">
        <v>874</v>
      </c>
    </row>
    <row customHeight="1" ht="11.25">
      <c r="A337" s="8161" t="s">
        <v>2279</v>
      </c>
      <c r="B337" s="8161" t="s">
        <v>14</v>
      </c>
      <c r="C337" s="8161" t="s">
        <v>2618</v>
      </c>
      <c r="D337" s="8161" t="s">
        <v>2619</v>
      </c>
      <c r="E337" s="8161" t="s">
        <v>2620</v>
      </c>
      <c r="F337" s="8161" t="s">
        <v>2560</v>
      </c>
      <c r="G337" s="8161" t="s">
        <v>24</v>
      </c>
      <c r="H337" s="8161" t="s">
        <v>24</v>
      </c>
      <c r="I337" s="8161" t="s">
        <v>874</v>
      </c>
    </row>
    <row customHeight="1" ht="11.25">
      <c r="A338" s="8161" t="s">
        <v>2279</v>
      </c>
      <c r="B338" s="8161" t="s">
        <v>14</v>
      </c>
      <c r="C338" s="8161" t="s">
        <v>3192</v>
      </c>
      <c r="D338" s="8161" t="s">
        <v>3193</v>
      </c>
      <c r="E338" s="8161" t="s">
        <v>3194</v>
      </c>
      <c r="F338" s="8161" t="s">
        <v>2418</v>
      </c>
      <c r="G338" s="8161" t="s">
        <v>24</v>
      </c>
      <c r="H338" s="8161" t="s">
        <v>24</v>
      </c>
      <c r="I338" s="8161" t="s">
        <v>874</v>
      </c>
    </row>
    <row customHeight="1" ht="11.25">
      <c r="A339" s="8161" t="s">
        <v>2279</v>
      </c>
      <c r="B339" s="8161" t="s">
        <v>14</v>
      </c>
      <c r="C339" s="8161" t="s">
        <v>2628</v>
      </c>
      <c r="D339" s="8161" t="s">
        <v>2629</v>
      </c>
      <c r="E339" s="8161" t="s">
        <v>2630</v>
      </c>
      <c r="F339" s="8161" t="s">
        <v>2631</v>
      </c>
      <c r="G339" s="8161" t="s">
        <v>2632</v>
      </c>
      <c r="H339" s="8161" t="s">
        <v>2633</v>
      </c>
      <c r="I339" s="8161" t="s">
        <v>874</v>
      </c>
    </row>
    <row customHeight="1" ht="11.25">
      <c r="A340" s="8161" t="s">
        <v>2279</v>
      </c>
      <c r="B340" s="8161" t="s">
        <v>14</v>
      </c>
      <c r="C340" s="8161" t="s">
        <v>3195</v>
      </c>
      <c r="D340" s="8161" t="s">
        <v>3196</v>
      </c>
      <c r="E340" s="8161" t="s">
        <v>3197</v>
      </c>
      <c r="F340" s="8161" t="s">
        <v>3094</v>
      </c>
      <c r="G340" s="8161" t="s">
        <v>24</v>
      </c>
      <c r="H340" s="8161" t="s">
        <v>3198</v>
      </c>
      <c r="I340" s="8161" t="s">
        <v>874</v>
      </c>
    </row>
    <row customHeight="1" ht="11.25">
      <c r="A341" s="8161" t="s">
        <v>2279</v>
      </c>
      <c r="B341" s="8161" t="s">
        <v>14</v>
      </c>
      <c r="C341" s="8161" t="s">
        <v>3199</v>
      </c>
      <c r="D341" s="8161" t="s">
        <v>3200</v>
      </c>
      <c r="E341" s="8161" t="s">
        <v>3201</v>
      </c>
      <c r="F341" s="8161" t="s">
        <v>2283</v>
      </c>
      <c r="G341" s="8161" t="s">
        <v>24</v>
      </c>
      <c r="H341" s="8161" t="s">
        <v>2311</v>
      </c>
      <c r="I341" s="8161" t="s">
        <v>874</v>
      </c>
    </row>
    <row customHeight="1" ht="11.25">
      <c r="A342" s="8161" t="s">
        <v>2279</v>
      </c>
      <c r="B342" s="8161" t="s">
        <v>14</v>
      </c>
      <c r="C342" s="8161" t="s">
        <v>3202</v>
      </c>
      <c r="D342" s="8161" t="s">
        <v>3203</v>
      </c>
      <c r="E342" s="8161" t="s">
        <v>3204</v>
      </c>
      <c r="F342" s="8161" t="s">
        <v>2359</v>
      </c>
      <c r="G342" s="8161" t="s">
        <v>24</v>
      </c>
      <c r="H342" s="8161" t="s">
        <v>3205</v>
      </c>
      <c r="I342" s="8161" t="s">
        <v>874</v>
      </c>
    </row>
    <row customHeight="1" ht="11.25">
      <c r="A343" s="8161" t="s">
        <v>2279</v>
      </c>
      <c r="B343" s="8161" t="s">
        <v>14</v>
      </c>
      <c r="C343" s="8161" t="s">
        <v>3206</v>
      </c>
      <c r="D343" s="8161" t="s">
        <v>3207</v>
      </c>
      <c r="E343" s="8161" t="s">
        <v>3208</v>
      </c>
      <c r="F343" s="8161" t="s">
        <v>2359</v>
      </c>
      <c r="G343" s="8161" t="s">
        <v>24</v>
      </c>
      <c r="H343" s="8161" t="s">
        <v>3209</v>
      </c>
      <c r="I343" s="8161" t="s">
        <v>874</v>
      </c>
    </row>
    <row customHeight="1" ht="11.25">
      <c r="A344" s="8161" t="s">
        <v>2279</v>
      </c>
      <c r="B344" s="8161" t="s">
        <v>14</v>
      </c>
      <c r="C344" s="8161" t="s">
        <v>2650</v>
      </c>
      <c r="D344" s="8161" t="s">
        <v>2651</v>
      </c>
      <c r="E344" s="8161" t="s">
        <v>2652</v>
      </c>
      <c r="F344" s="8161" t="s">
        <v>2339</v>
      </c>
      <c r="G344" s="8161" t="s">
        <v>24</v>
      </c>
      <c r="H344" s="8161" t="s">
        <v>24</v>
      </c>
      <c r="I344" s="8161" t="s">
        <v>874</v>
      </c>
    </row>
    <row customHeight="1" ht="11.25">
      <c r="A345" s="8161" t="s">
        <v>2279</v>
      </c>
      <c r="B345" s="8161" t="s">
        <v>14</v>
      </c>
      <c r="C345" s="8161" t="s">
        <v>2657</v>
      </c>
      <c r="D345" s="8161" t="s">
        <v>2658</v>
      </c>
      <c r="E345" s="8161" t="s">
        <v>2659</v>
      </c>
      <c r="F345" s="8161" t="s">
        <v>2296</v>
      </c>
      <c r="G345" s="8161" t="s">
        <v>24</v>
      </c>
      <c r="H345" s="8161" t="s">
        <v>24</v>
      </c>
      <c r="I345" s="8161" t="s">
        <v>874</v>
      </c>
    </row>
    <row customHeight="1" ht="11.25">
      <c r="A346" s="8161" t="s">
        <v>2279</v>
      </c>
      <c r="B346" s="8161" t="s">
        <v>14</v>
      </c>
      <c r="C346" s="8161" t="s">
        <v>2673</v>
      </c>
      <c r="D346" s="8161" t="s">
        <v>2674</v>
      </c>
      <c r="E346" s="8161" t="s">
        <v>2675</v>
      </c>
      <c r="F346" s="8161" t="s">
        <v>2448</v>
      </c>
      <c r="G346" s="8161" t="s">
        <v>2676</v>
      </c>
      <c r="H346" s="8161" t="s">
        <v>24</v>
      </c>
      <c r="I346" s="8161" t="s">
        <v>874</v>
      </c>
    </row>
    <row customHeight="1" ht="11.25">
      <c r="A347" s="8161" t="s">
        <v>2279</v>
      </c>
      <c r="B347" s="8161" t="s">
        <v>14</v>
      </c>
      <c r="C347" s="8161" t="s">
        <v>3210</v>
      </c>
      <c r="D347" s="8161" t="s">
        <v>3211</v>
      </c>
      <c r="E347" s="8161" t="s">
        <v>3212</v>
      </c>
      <c r="F347" s="8161" t="s">
        <v>2359</v>
      </c>
      <c r="G347" s="8161" t="s">
        <v>3213</v>
      </c>
      <c r="H347" s="8161" t="s">
        <v>3214</v>
      </c>
      <c r="I347" s="8161" t="s">
        <v>874</v>
      </c>
    </row>
    <row customHeight="1" ht="11.25">
      <c r="A348" s="8161" t="s">
        <v>2279</v>
      </c>
      <c r="B348" s="8161" t="s">
        <v>14</v>
      </c>
      <c r="C348" s="8161" t="s">
        <v>2683</v>
      </c>
      <c r="D348" s="8161" t="s">
        <v>2684</v>
      </c>
      <c r="E348" s="8161" t="s">
        <v>2685</v>
      </c>
      <c r="F348" s="8161" t="s">
        <v>2686</v>
      </c>
      <c r="G348" s="8161" t="s">
        <v>24</v>
      </c>
      <c r="H348" s="8161" t="s">
        <v>2687</v>
      </c>
      <c r="I348" s="8161" t="s">
        <v>874</v>
      </c>
    </row>
    <row customHeight="1" ht="11.25">
      <c r="A349" s="8161" t="s">
        <v>2279</v>
      </c>
      <c r="B349" s="8161" t="s">
        <v>14</v>
      </c>
      <c r="C349" s="8161" t="s">
        <v>3215</v>
      </c>
      <c r="D349" s="8161" t="s">
        <v>3216</v>
      </c>
      <c r="E349" s="8161" t="s">
        <v>3217</v>
      </c>
      <c r="F349" s="8161" t="s">
        <v>2509</v>
      </c>
      <c r="G349" s="8161" t="s">
        <v>24</v>
      </c>
      <c r="H349" s="8161" t="s">
        <v>24</v>
      </c>
      <c r="I349" s="8161" t="s">
        <v>874</v>
      </c>
    </row>
    <row customHeight="1" ht="11.25">
      <c r="A350" s="8161" t="s">
        <v>2279</v>
      </c>
      <c r="B350" s="8161" t="s">
        <v>14</v>
      </c>
      <c r="C350" s="8161" t="s">
        <v>3218</v>
      </c>
      <c r="D350" s="8161" t="s">
        <v>3219</v>
      </c>
      <c r="E350" s="8161" t="s">
        <v>3220</v>
      </c>
      <c r="F350" s="8161" t="s">
        <v>2438</v>
      </c>
      <c r="G350" s="8161" t="s">
        <v>24</v>
      </c>
      <c r="H350" s="8161" t="s">
        <v>24</v>
      </c>
      <c r="I350" s="8161" t="s">
        <v>874</v>
      </c>
    </row>
    <row customHeight="1" ht="11.25">
      <c r="A351" s="8161" t="s">
        <v>2279</v>
      </c>
      <c r="B351" s="8161" t="s">
        <v>14</v>
      </c>
      <c r="C351" s="8161" t="s">
        <v>2694</v>
      </c>
      <c r="D351" s="8161" t="s">
        <v>2695</v>
      </c>
      <c r="E351" s="8161" t="s">
        <v>2696</v>
      </c>
      <c r="F351" s="8161" t="s">
        <v>2697</v>
      </c>
      <c r="G351" s="8161" t="s">
        <v>24</v>
      </c>
      <c r="H351" s="8161" t="s">
        <v>2698</v>
      </c>
      <c r="I351" s="8161" t="s">
        <v>874</v>
      </c>
    </row>
    <row customHeight="1" ht="11.25">
      <c r="A352" s="8161" t="s">
        <v>2279</v>
      </c>
      <c r="B352" s="8161" t="s">
        <v>14</v>
      </c>
      <c r="C352" s="8161" t="s">
        <v>2717</v>
      </c>
      <c r="D352" s="8161" t="s">
        <v>2718</v>
      </c>
      <c r="E352" s="8161" t="s">
        <v>2719</v>
      </c>
      <c r="F352" s="8161" t="s">
        <v>2720</v>
      </c>
      <c r="G352" s="8161" t="s">
        <v>24</v>
      </c>
      <c r="H352" s="8161" t="s">
        <v>24</v>
      </c>
      <c r="I352" s="8161" t="s">
        <v>874</v>
      </c>
    </row>
    <row customHeight="1" ht="11.25">
      <c r="A353" s="8161" t="s">
        <v>2279</v>
      </c>
      <c r="B353" s="8161" t="s">
        <v>14</v>
      </c>
      <c r="C353" s="8161" t="s">
        <v>3221</v>
      </c>
      <c r="D353" s="8161" t="s">
        <v>3222</v>
      </c>
      <c r="E353" s="8161" t="s">
        <v>3223</v>
      </c>
      <c r="F353" s="8161" t="s">
        <v>3224</v>
      </c>
      <c r="G353" s="8161" t="s">
        <v>24</v>
      </c>
      <c r="H353" s="8161" t="s">
        <v>24</v>
      </c>
      <c r="I353" s="8161" t="s">
        <v>874</v>
      </c>
    </row>
    <row customHeight="1" ht="11.25">
      <c r="A354" s="8161" t="s">
        <v>2279</v>
      </c>
      <c r="B354" s="8161" t="s">
        <v>14</v>
      </c>
      <c r="C354" s="8161" t="s">
        <v>3225</v>
      </c>
      <c r="D354" s="8161" t="s">
        <v>3226</v>
      </c>
      <c r="E354" s="8161" t="s">
        <v>3227</v>
      </c>
      <c r="F354" s="8161" t="s">
        <v>2448</v>
      </c>
      <c r="G354" s="8161" t="s">
        <v>24</v>
      </c>
      <c r="H354" s="8161" t="s">
        <v>24</v>
      </c>
      <c r="I354" s="8161" t="s">
        <v>874</v>
      </c>
    </row>
    <row customHeight="1" ht="11.25">
      <c r="A355" s="8161" t="s">
        <v>2279</v>
      </c>
      <c r="B355" s="8161" t="s">
        <v>14</v>
      </c>
      <c r="C355" s="8161" t="s">
        <v>3228</v>
      </c>
      <c r="D355" s="8161" t="s">
        <v>3229</v>
      </c>
      <c r="E355" s="8161" t="s">
        <v>3230</v>
      </c>
      <c r="F355" s="8161" t="s">
        <v>2283</v>
      </c>
      <c r="G355" s="8161" t="s">
        <v>24</v>
      </c>
      <c r="H355" s="8161" t="s">
        <v>24</v>
      </c>
      <c r="I355" s="8161" t="s">
        <v>874</v>
      </c>
    </row>
    <row customHeight="1" ht="11.25">
      <c r="A356" s="8161" t="s">
        <v>2279</v>
      </c>
      <c r="B356" s="8161" t="s">
        <v>14</v>
      </c>
      <c r="C356" s="8161" t="s">
        <v>2721</v>
      </c>
      <c r="D356" s="8161" t="s">
        <v>2722</v>
      </c>
      <c r="E356" s="8161" t="s">
        <v>2723</v>
      </c>
      <c r="F356" s="8161" t="s">
        <v>2418</v>
      </c>
      <c r="G356" s="8161" t="s">
        <v>2360</v>
      </c>
      <c r="H356" s="8161" t="s">
        <v>24</v>
      </c>
      <c r="I356" s="8161" t="s">
        <v>874</v>
      </c>
    </row>
    <row customHeight="1" ht="11.25">
      <c r="A357" s="8161" t="s">
        <v>2279</v>
      </c>
      <c r="B357" s="8161" t="s">
        <v>14</v>
      </c>
      <c r="C357" s="8161" t="s">
        <v>3231</v>
      </c>
      <c r="D357" s="8161" t="s">
        <v>3232</v>
      </c>
      <c r="E357" s="8161" t="s">
        <v>3233</v>
      </c>
      <c r="F357" s="8161" t="s">
        <v>2438</v>
      </c>
      <c r="G357" s="8161" t="s">
        <v>3234</v>
      </c>
      <c r="H357" s="8161" t="s">
        <v>3235</v>
      </c>
      <c r="I357" s="8161" t="s">
        <v>874</v>
      </c>
    </row>
    <row customHeight="1" ht="11.25">
      <c r="A358" s="8161" t="s">
        <v>2279</v>
      </c>
      <c r="B358" s="8161" t="s">
        <v>14</v>
      </c>
      <c r="C358" s="8161" t="s">
        <v>3236</v>
      </c>
      <c r="D358" s="8161" t="s">
        <v>3237</v>
      </c>
      <c r="E358" s="8161" t="s">
        <v>3238</v>
      </c>
      <c r="F358" s="8161" t="s">
        <v>2438</v>
      </c>
      <c r="G358" s="8161" t="s">
        <v>24</v>
      </c>
      <c r="H358" s="8161" t="s">
        <v>3138</v>
      </c>
      <c r="I358" s="8161" t="s">
        <v>874</v>
      </c>
    </row>
    <row customHeight="1" ht="11.25">
      <c r="A359" s="8161" t="s">
        <v>2279</v>
      </c>
      <c r="B359" s="8161" t="s">
        <v>14</v>
      </c>
      <c r="C359" s="8161" t="s">
        <v>3239</v>
      </c>
      <c r="D359" s="8161" t="s">
        <v>3240</v>
      </c>
      <c r="E359" s="8161" t="s">
        <v>3241</v>
      </c>
      <c r="F359" s="8161" t="s">
        <v>2418</v>
      </c>
      <c r="G359" s="8161" t="s">
        <v>24</v>
      </c>
      <c r="H359" s="8161" t="s">
        <v>24</v>
      </c>
      <c r="I359" s="8161" t="s">
        <v>874</v>
      </c>
    </row>
    <row customHeight="1" ht="11.25">
      <c r="A360" s="8161" t="s">
        <v>2279</v>
      </c>
      <c r="B360" s="8161" t="s">
        <v>14</v>
      </c>
      <c r="C360" s="8161" t="s">
        <v>2737</v>
      </c>
      <c r="D360" s="8161" t="s">
        <v>2738</v>
      </c>
      <c r="E360" s="8161" t="s">
        <v>2739</v>
      </c>
      <c r="F360" s="8161" t="s">
        <v>2740</v>
      </c>
      <c r="G360" s="8161" t="s">
        <v>24</v>
      </c>
      <c r="H360" s="8161" t="s">
        <v>24</v>
      </c>
      <c r="I360" s="8161" t="s">
        <v>874</v>
      </c>
    </row>
    <row customHeight="1" ht="11.25">
      <c r="A361" s="8161" t="s">
        <v>2279</v>
      </c>
      <c r="B361" s="8161" t="s">
        <v>14</v>
      </c>
      <c r="C361" s="8161" t="s">
        <v>3242</v>
      </c>
      <c r="D361" s="8161" t="s">
        <v>3243</v>
      </c>
      <c r="E361" s="8161" t="s">
        <v>3244</v>
      </c>
      <c r="F361" s="8161" t="s">
        <v>2359</v>
      </c>
      <c r="G361" s="8161" t="s">
        <v>24</v>
      </c>
      <c r="H361" s="8161" t="s">
        <v>24</v>
      </c>
      <c r="I361" s="8161" t="s">
        <v>874</v>
      </c>
    </row>
    <row customHeight="1" ht="11.25">
      <c r="A362" s="8161" t="s">
        <v>2279</v>
      </c>
      <c r="B362" s="8161" t="s">
        <v>14</v>
      </c>
      <c r="C362" s="8161" t="s">
        <v>3245</v>
      </c>
      <c r="D362" s="8161" t="s">
        <v>3246</v>
      </c>
      <c r="E362" s="8161" t="s">
        <v>3247</v>
      </c>
      <c r="F362" s="8161" t="s">
        <v>3248</v>
      </c>
      <c r="G362" s="8161" t="s">
        <v>3249</v>
      </c>
      <c r="H362" s="8161" t="s">
        <v>3250</v>
      </c>
      <c r="I362" s="8161" t="s">
        <v>874</v>
      </c>
    </row>
    <row customHeight="1" ht="11.25">
      <c r="A363" s="8161" t="s">
        <v>2279</v>
      </c>
      <c r="B363" s="8161" t="s">
        <v>14</v>
      </c>
      <c r="C363" s="8161" t="s">
        <v>2759</v>
      </c>
      <c r="D363" s="8161" t="s">
        <v>2760</v>
      </c>
      <c r="E363" s="8161" t="s">
        <v>2761</v>
      </c>
      <c r="F363" s="8161" t="s">
        <v>2574</v>
      </c>
      <c r="G363" s="8161" t="s">
        <v>24</v>
      </c>
      <c r="H363" s="8161" t="s">
        <v>24</v>
      </c>
      <c r="I363" s="8161" t="s">
        <v>874</v>
      </c>
    </row>
    <row customHeight="1" ht="11.25">
      <c r="A364" s="8161" t="s">
        <v>2279</v>
      </c>
      <c r="B364" s="8161" t="s">
        <v>14</v>
      </c>
      <c r="C364" s="8161" t="s">
        <v>3251</v>
      </c>
      <c r="D364" s="8161" t="s">
        <v>3252</v>
      </c>
      <c r="E364" s="8161" t="s">
        <v>3253</v>
      </c>
      <c r="F364" s="8161" t="s">
        <v>2873</v>
      </c>
      <c r="G364" s="8161" t="s">
        <v>24</v>
      </c>
      <c r="H364" s="8161" t="s">
        <v>3254</v>
      </c>
      <c r="I364" s="8161" t="s">
        <v>874</v>
      </c>
    </row>
    <row customHeight="1" ht="11.25">
      <c r="A365" s="8161" t="s">
        <v>2279</v>
      </c>
      <c r="B365" s="8161" t="s">
        <v>14</v>
      </c>
      <c r="C365" s="8161" t="s">
        <v>3255</v>
      </c>
      <c r="D365" s="8161" t="s">
        <v>3256</v>
      </c>
      <c r="E365" s="8161" t="s">
        <v>3257</v>
      </c>
      <c r="F365" s="8161" t="s">
        <v>2283</v>
      </c>
      <c r="G365" s="8161" t="s">
        <v>24</v>
      </c>
      <c r="H365" s="8161" t="s">
        <v>24</v>
      </c>
      <c r="I365" s="8161" t="s">
        <v>874</v>
      </c>
    </row>
    <row customHeight="1" ht="11.25">
      <c r="A366" s="8161" t="s">
        <v>2279</v>
      </c>
      <c r="B366" s="8161" t="s">
        <v>14</v>
      </c>
      <c r="C366" s="8161" t="s">
        <v>3258</v>
      </c>
      <c r="D366" s="8161" t="s">
        <v>3259</v>
      </c>
      <c r="E366" s="8161" t="s">
        <v>3260</v>
      </c>
      <c r="F366" s="8161" t="s">
        <v>2359</v>
      </c>
      <c r="G366" s="8161" t="s">
        <v>24</v>
      </c>
      <c r="H366" s="8161" t="s">
        <v>3138</v>
      </c>
      <c r="I366" s="8161" t="s">
        <v>874</v>
      </c>
    </row>
    <row customHeight="1" ht="11.25">
      <c r="A367" s="8161" t="s">
        <v>2279</v>
      </c>
      <c r="B367" s="8161" t="s">
        <v>14</v>
      </c>
      <c r="C367" s="8161" t="s">
        <v>3261</v>
      </c>
      <c r="D367" s="8161" t="s">
        <v>3262</v>
      </c>
      <c r="E367" s="8161" t="s">
        <v>3263</v>
      </c>
      <c r="F367" s="8161" t="s">
        <v>2560</v>
      </c>
      <c r="G367" s="8161" t="s">
        <v>24</v>
      </c>
      <c r="H367" s="8161" t="s">
        <v>24</v>
      </c>
      <c r="I367" s="8161" t="s">
        <v>874</v>
      </c>
    </row>
    <row customHeight="1" ht="11.25">
      <c r="A368" s="8161" t="s">
        <v>2279</v>
      </c>
      <c r="B368" s="8161" t="s">
        <v>14</v>
      </c>
      <c r="C368" s="8161" t="s">
        <v>3264</v>
      </c>
      <c r="D368" s="8161" t="s">
        <v>3265</v>
      </c>
      <c r="E368" s="8161" t="s">
        <v>3266</v>
      </c>
      <c r="F368" s="8161" t="s">
        <v>3044</v>
      </c>
      <c r="G368" s="8161" t="s">
        <v>24</v>
      </c>
      <c r="H368" s="8161" t="s">
        <v>3267</v>
      </c>
      <c r="I368" s="8161" t="s">
        <v>874</v>
      </c>
    </row>
    <row customHeight="1" ht="11.25">
      <c r="A369" s="8161" t="s">
        <v>2279</v>
      </c>
      <c r="B369" s="8161" t="s">
        <v>14</v>
      </c>
      <c r="C369" s="8161" t="s">
        <v>3268</v>
      </c>
      <c r="D369" s="8161" t="s">
        <v>3269</v>
      </c>
      <c r="E369" s="8161" t="s">
        <v>3270</v>
      </c>
      <c r="F369" s="8161" t="s">
        <v>2509</v>
      </c>
      <c r="G369" s="8161" t="s">
        <v>24</v>
      </c>
      <c r="H369" s="8161" t="s">
        <v>3271</v>
      </c>
      <c r="I369" s="8161" t="s">
        <v>874</v>
      </c>
    </row>
    <row customHeight="1" ht="11.25">
      <c r="A370" s="8161" t="s">
        <v>2279</v>
      </c>
      <c r="B370" s="8161" t="s">
        <v>14</v>
      </c>
      <c r="C370" s="8161" t="s">
        <v>3272</v>
      </c>
      <c r="D370" s="8161" t="s">
        <v>3273</v>
      </c>
      <c r="E370" s="8161" t="s">
        <v>3274</v>
      </c>
      <c r="F370" s="8161" t="s">
        <v>2480</v>
      </c>
      <c r="G370" s="8161" t="s">
        <v>24</v>
      </c>
      <c r="H370" s="8161" t="s">
        <v>3275</v>
      </c>
      <c r="I370" s="8161" t="s">
        <v>874</v>
      </c>
    </row>
    <row customHeight="1" ht="11.25">
      <c r="A371" s="8161" t="s">
        <v>2279</v>
      </c>
      <c r="B371" s="8161" t="s">
        <v>14</v>
      </c>
      <c r="C371" s="8161" t="s">
        <v>3276</v>
      </c>
      <c r="D371" s="8161" t="s">
        <v>3277</v>
      </c>
      <c r="E371" s="8161" t="s">
        <v>3278</v>
      </c>
      <c r="F371" s="8161" t="s">
        <v>2291</v>
      </c>
      <c r="G371" s="8161" t="s">
        <v>24</v>
      </c>
      <c r="H371" s="8161" t="s">
        <v>3134</v>
      </c>
      <c r="I371" s="8161" t="s">
        <v>874</v>
      </c>
    </row>
    <row customHeight="1" ht="11.25">
      <c r="A372" s="8161" t="s">
        <v>2279</v>
      </c>
      <c r="B372" s="8161" t="s">
        <v>14</v>
      </c>
      <c r="C372" s="8161" t="s">
        <v>3279</v>
      </c>
      <c r="D372" s="8161" t="s">
        <v>3280</v>
      </c>
      <c r="E372" s="8161" t="s">
        <v>3281</v>
      </c>
      <c r="F372" s="8161" t="s">
        <v>2296</v>
      </c>
      <c r="G372" s="8161" t="s">
        <v>24</v>
      </c>
      <c r="H372" s="8161" t="s">
        <v>24</v>
      </c>
      <c r="I372" s="8161" t="s">
        <v>874</v>
      </c>
    </row>
    <row customHeight="1" ht="11.25">
      <c r="A373" s="8161" t="s">
        <v>2279</v>
      </c>
      <c r="B373" s="8161" t="s">
        <v>14</v>
      </c>
      <c r="C373" s="8161" t="s">
        <v>3282</v>
      </c>
      <c r="D373" s="8161" t="s">
        <v>3283</v>
      </c>
      <c r="E373" s="8161" t="s">
        <v>3284</v>
      </c>
      <c r="F373" s="8161" t="s">
        <v>3037</v>
      </c>
      <c r="G373" s="8161" t="s">
        <v>24</v>
      </c>
      <c r="H373" s="8161" t="s">
        <v>3138</v>
      </c>
      <c r="I373" s="8161" t="s">
        <v>874</v>
      </c>
    </row>
    <row customHeight="1" ht="11.25">
      <c r="A374" s="8161" t="s">
        <v>2279</v>
      </c>
      <c r="B374" s="8161" t="s">
        <v>14</v>
      </c>
      <c r="C374" s="8161" t="s">
        <v>3285</v>
      </c>
      <c r="D374" s="8161" t="s">
        <v>3286</v>
      </c>
      <c r="E374" s="8161" t="s">
        <v>3287</v>
      </c>
      <c r="F374" s="8161" t="s">
        <v>2740</v>
      </c>
      <c r="G374" s="8161" t="s">
        <v>24</v>
      </c>
      <c r="H374" s="8161" t="s">
        <v>24</v>
      </c>
      <c r="I374" s="8161" t="s">
        <v>874</v>
      </c>
    </row>
    <row customHeight="1" ht="11.25">
      <c r="A375" s="8161" t="s">
        <v>2279</v>
      </c>
      <c r="B375" s="8161" t="s">
        <v>14</v>
      </c>
      <c r="C375" s="8161" t="s">
        <v>3288</v>
      </c>
      <c r="D375" s="8161" t="s">
        <v>3289</v>
      </c>
      <c r="E375" s="8161" t="s">
        <v>3290</v>
      </c>
      <c r="F375" s="8161" t="s">
        <v>2448</v>
      </c>
      <c r="G375" s="8161" t="s">
        <v>24</v>
      </c>
      <c r="H375" s="8161" t="s">
        <v>3134</v>
      </c>
      <c r="I375" s="8161" t="s">
        <v>874</v>
      </c>
    </row>
    <row customHeight="1" ht="11.25">
      <c r="A376" s="8161" t="s">
        <v>2279</v>
      </c>
      <c r="B376" s="8161" t="s">
        <v>14</v>
      </c>
      <c r="C376" s="8161" t="s">
        <v>3291</v>
      </c>
      <c r="D376" s="8161" t="s">
        <v>3292</v>
      </c>
      <c r="E376" s="8161" t="s">
        <v>3293</v>
      </c>
      <c r="F376" s="8161" t="s">
        <v>2296</v>
      </c>
      <c r="G376" s="8161" t="s">
        <v>24</v>
      </c>
      <c r="H376" s="8161" t="s">
        <v>3294</v>
      </c>
      <c r="I376" s="8161" t="s">
        <v>874</v>
      </c>
    </row>
    <row customHeight="1" ht="11.25">
      <c r="A377" s="8161" t="s">
        <v>2279</v>
      </c>
      <c r="B377" s="8161" t="s">
        <v>14</v>
      </c>
      <c r="C377" s="8161" t="s">
        <v>3295</v>
      </c>
      <c r="D377" s="8161" t="s">
        <v>3296</v>
      </c>
      <c r="E377" s="8161" t="s">
        <v>3297</v>
      </c>
      <c r="F377" s="8161" t="s">
        <v>2404</v>
      </c>
      <c r="G377" s="8161" t="s">
        <v>24</v>
      </c>
      <c r="H377" s="8161" t="s">
        <v>24</v>
      </c>
      <c r="I377" s="8161" t="s">
        <v>874</v>
      </c>
    </row>
    <row customHeight="1" ht="11.25">
      <c r="A378" s="8161" t="s">
        <v>2279</v>
      </c>
      <c r="B378" s="8161" t="s">
        <v>14</v>
      </c>
      <c r="C378" s="8161" t="s">
        <v>3298</v>
      </c>
      <c r="D378" s="8161" t="s">
        <v>3299</v>
      </c>
      <c r="E378" s="8161" t="s">
        <v>3300</v>
      </c>
      <c r="F378" s="8161" t="s">
        <v>2287</v>
      </c>
      <c r="G378" s="8161" t="s">
        <v>24</v>
      </c>
      <c r="H378" s="8161" t="s">
        <v>24</v>
      </c>
      <c r="I378" s="8161" t="s">
        <v>874</v>
      </c>
    </row>
    <row customHeight="1" ht="11.25">
      <c r="A379" s="8161" t="s">
        <v>2279</v>
      </c>
      <c r="B379" s="8161" t="s">
        <v>14</v>
      </c>
      <c r="C379" s="8161" t="s">
        <v>3301</v>
      </c>
      <c r="D379" s="8161" t="s">
        <v>3302</v>
      </c>
      <c r="E379" s="8161" t="s">
        <v>3303</v>
      </c>
      <c r="F379" s="8161" t="s">
        <v>2359</v>
      </c>
      <c r="G379" s="8161" t="s">
        <v>24</v>
      </c>
      <c r="H379" s="8161" t="s">
        <v>24</v>
      </c>
      <c r="I379" s="8161" t="s">
        <v>874</v>
      </c>
    </row>
    <row customHeight="1" ht="11.25">
      <c r="A380" s="8161" t="s">
        <v>2279</v>
      </c>
      <c r="B380" s="8161" t="s">
        <v>14</v>
      </c>
      <c r="C380" s="8161" t="s">
        <v>3304</v>
      </c>
      <c r="D380" s="8161" t="s">
        <v>3305</v>
      </c>
      <c r="E380" s="8161" t="s">
        <v>3306</v>
      </c>
      <c r="F380" s="8161" t="s">
        <v>2283</v>
      </c>
      <c r="G380" s="8161" t="s">
        <v>24</v>
      </c>
      <c r="H380" s="8161" t="s">
        <v>3134</v>
      </c>
      <c r="I380" s="8161" t="s">
        <v>874</v>
      </c>
    </row>
    <row customHeight="1" ht="11.25">
      <c r="A381" s="8161" t="s">
        <v>2279</v>
      </c>
      <c r="B381" s="8161" t="s">
        <v>14</v>
      </c>
      <c r="C381" s="8161" t="s">
        <v>3307</v>
      </c>
      <c r="D381" s="8161" t="s">
        <v>3308</v>
      </c>
      <c r="E381" s="8161" t="s">
        <v>3309</v>
      </c>
      <c r="F381" s="8161" t="s">
        <v>2359</v>
      </c>
      <c r="G381" s="8161" t="s">
        <v>24</v>
      </c>
      <c r="H381" s="8161" t="s">
        <v>3134</v>
      </c>
      <c r="I381" s="8161" t="s">
        <v>874</v>
      </c>
    </row>
    <row customHeight="1" ht="11.25">
      <c r="A382" s="8161" t="s">
        <v>2279</v>
      </c>
      <c r="B382" s="8161" t="s">
        <v>14</v>
      </c>
      <c r="C382" s="8161" t="s">
        <v>3310</v>
      </c>
      <c r="D382" s="8161" t="s">
        <v>3311</v>
      </c>
      <c r="E382" s="8161" t="s">
        <v>3312</v>
      </c>
      <c r="F382" s="8161" t="s">
        <v>2438</v>
      </c>
      <c r="G382" s="8161" t="s">
        <v>24</v>
      </c>
      <c r="H382" s="8161" t="s">
        <v>3134</v>
      </c>
      <c r="I382" s="8161" t="s">
        <v>874</v>
      </c>
    </row>
    <row customHeight="1" ht="11.25">
      <c r="A383" s="8161" t="s">
        <v>2279</v>
      </c>
      <c r="B383" s="8161" t="s">
        <v>14</v>
      </c>
      <c r="C383" s="8161" t="s">
        <v>3313</v>
      </c>
      <c r="D383" s="8161" t="s">
        <v>3314</v>
      </c>
      <c r="E383" s="8161" t="s">
        <v>3040</v>
      </c>
      <c r="F383" s="8161" t="s">
        <v>3315</v>
      </c>
      <c r="G383" s="8161" t="s">
        <v>24</v>
      </c>
      <c r="H383" s="8161" t="s">
        <v>3134</v>
      </c>
      <c r="I383" s="8161" t="s">
        <v>874</v>
      </c>
    </row>
    <row customHeight="1" ht="11.25">
      <c r="A384" s="8161" t="s">
        <v>2279</v>
      </c>
      <c r="B384" s="8161" t="s">
        <v>14</v>
      </c>
      <c r="C384" s="8161" t="s">
        <v>3316</v>
      </c>
      <c r="D384" s="8161" t="s">
        <v>3317</v>
      </c>
      <c r="E384" s="8161" t="s">
        <v>3318</v>
      </c>
      <c r="F384" s="8161" t="s">
        <v>2291</v>
      </c>
      <c r="G384" s="8161" t="s">
        <v>3319</v>
      </c>
      <c r="H384" s="8161" t="s">
        <v>24</v>
      </c>
      <c r="I384" s="8161" t="s">
        <v>874</v>
      </c>
    </row>
    <row customHeight="1" ht="11.25">
      <c r="A385" s="8161" t="s">
        <v>2279</v>
      </c>
      <c r="B385" s="8161" t="s">
        <v>14</v>
      </c>
      <c r="C385" s="8161" t="s">
        <v>3320</v>
      </c>
      <c r="D385" s="8161" t="s">
        <v>3321</v>
      </c>
      <c r="E385" s="8161" t="s">
        <v>3322</v>
      </c>
      <c r="F385" s="8161" t="s">
        <v>2283</v>
      </c>
      <c r="G385" s="8161" t="s">
        <v>24</v>
      </c>
      <c r="H385" s="8161" t="s">
        <v>3323</v>
      </c>
      <c r="I385" s="8161" t="s">
        <v>874</v>
      </c>
    </row>
    <row customHeight="1" ht="11.25">
      <c r="A386" s="8161" t="s">
        <v>2279</v>
      </c>
      <c r="B386" s="8161" t="s">
        <v>14</v>
      </c>
      <c r="C386" s="8161" t="s">
        <v>3324</v>
      </c>
      <c r="D386" s="8161" t="s">
        <v>3325</v>
      </c>
      <c r="E386" s="8161" t="s">
        <v>2286</v>
      </c>
      <c r="F386" s="8161" t="s">
        <v>2287</v>
      </c>
      <c r="G386" s="8161" t="s">
        <v>24</v>
      </c>
      <c r="H386" s="8161" t="s">
        <v>24</v>
      </c>
      <c r="I386" s="8161" t="s">
        <v>874</v>
      </c>
    </row>
    <row customHeight="1" ht="11.25">
      <c r="A387" s="8161" t="s">
        <v>2279</v>
      </c>
      <c r="B387" s="8161" t="s">
        <v>14</v>
      </c>
      <c r="C387" s="8161" t="s">
        <v>2765</v>
      </c>
      <c r="D387" s="8161" t="s">
        <v>2766</v>
      </c>
      <c r="E387" s="8161" t="s">
        <v>2767</v>
      </c>
      <c r="F387" s="8161" t="s">
        <v>2418</v>
      </c>
      <c r="G387" s="8161" t="s">
        <v>24</v>
      </c>
      <c r="H387" s="8161" t="s">
        <v>2311</v>
      </c>
      <c r="I387" s="8161" t="s">
        <v>874</v>
      </c>
    </row>
    <row customHeight="1" ht="11.25">
      <c r="A388" s="8161" t="s">
        <v>2279</v>
      </c>
      <c r="B388" s="8161" t="s">
        <v>14</v>
      </c>
      <c r="C388" s="8161" t="s">
        <v>3326</v>
      </c>
      <c r="D388" s="8161" t="s">
        <v>3327</v>
      </c>
      <c r="E388" s="8161" t="s">
        <v>3328</v>
      </c>
      <c r="F388" s="8161" t="s">
        <v>2283</v>
      </c>
      <c r="G388" s="8161" t="s">
        <v>24</v>
      </c>
      <c r="H388" s="8161" t="s">
        <v>3134</v>
      </c>
      <c r="I388" s="8161" t="s">
        <v>874</v>
      </c>
    </row>
    <row customHeight="1" ht="11.25">
      <c r="A389" s="8161" t="s">
        <v>2279</v>
      </c>
      <c r="B389" s="8161" t="s">
        <v>14</v>
      </c>
      <c r="C389" s="8161" t="s">
        <v>3329</v>
      </c>
      <c r="D389" s="8161" t="s">
        <v>3330</v>
      </c>
      <c r="E389" s="8161" t="s">
        <v>3331</v>
      </c>
      <c r="F389" s="8161" t="s">
        <v>2296</v>
      </c>
      <c r="G389" s="8161" t="s">
        <v>24</v>
      </c>
      <c r="H389" s="8161" t="s">
        <v>24</v>
      </c>
      <c r="I389" s="8161" t="s">
        <v>874</v>
      </c>
    </row>
    <row customHeight="1" ht="11.25">
      <c r="A390" s="8161" t="s">
        <v>2279</v>
      </c>
      <c r="B390" s="8161" t="s">
        <v>14</v>
      </c>
      <c r="C390" s="8161" t="s">
        <v>3332</v>
      </c>
      <c r="D390" s="8161" t="s">
        <v>3333</v>
      </c>
      <c r="E390" s="8161" t="s">
        <v>3334</v>
      </c>
      <c r="F390" s="8161" t="s">
        <v>2418</v>
      </c>
      <c r="G390" s="8161" t="s">
        <v>24</v>
      </c>
      <c r="H390" s="8161" t="s">
        <v>3134</v>
      </c>
      <c r="I390" s="8161" t="s">
        <v>874</v>
      </c>
    </row>
    <row customHeight="1" ht="11.25">
      <c r="A391" s="8161" t="s">
        <v>2279</v>
      </c>
      <c r="B391" s="8161" t="s">
        <v>14</v>
      </c>
      <c r="C391" s="8161" t="s">
        <v>3335</v>
      </c>
      <c r="D391" s="8161" t="s">
        <v>3336</v>
      </c>
      <c r="E391" s="8161" t="s">
        <v>3337</v>
      </c>
      <c r="F391" s="8161" t="s">
        <v>2296</v>
      </c>
      <c r="G391" s="8161" t="s">
        <v>24</v>
      </c>
      <c r="H391" s="8161" t="s">
        <v>24</v>
      </c>
      <c r="I391" s="8161" t="s">
        <v>874</v>
      </c>
    </row>
    <row customHeight="1" ht="11.25">
      <c r="A392" s="8161" t="s">
        <v>2279</v>
      </c>
      <c r="B392" s="8161" t="s">
        <v>14</v>
      </c>
      <c r="C392" s="8161" t="s">
        <v>2771</v>
      </c>
      <c r="D392" s="8161" t="s">
        <v>2772</v>
      </c>
      <c r="E392" s="8161" t="s">
        <v>2773</v>
      </c>
      <c r="F392" s="8161" t="s">
        <v>2315</v>
      </c>
      <c r="G392" s="8161" t="s">
        <v>24</v>
      </c>
      <c r="H392" s="8161" t="s">
        <v>24</v>
      </c>
      <c r="I392" s="8161" t="s">
        <v>874</v>
      </c>
    </row>
    <row customHeight="1" ht="11.25">
      <c r="A393" s="8161" t="s">
        <v>2279</v>
      </c>
      <c r="B393" s="8161" t="s">
        <v>14</v>
      </c>
      <c r="C393" s="8161" t="s">
        <v>2782</v>
      </c>
      <c r="D393" s="8161" t="s">
        <v>2783</v>
      </c>
      <c r="E393" s="8161" t="s">
        <v>2784</v>
      </c>
      <c r="F393" s="8161" t="s">
        <v>2740</v>
      </c>
      <c r="G393" s="8161" t="s">
        <v>2785</v>
      </c>
      <c r="H393" s="8161" t="s">
        <v>24</v>
      </c>
      <c r="I393" s="8161" t="s">
        <v>874</v>
      </c>
    </row>
    <row customHeight="1" ht="11.25">
      <c r="A394" s="8161" t="s">
        <v>2279</v>
      </c>
      <c r="B394" s="8161" t="s">
        <v>14</v>
      </c>
      <c r="C394" s="8161" t="s">
        <v>2786</v>
      </c>
      <c r="D394" s="8161" t="s">
        <v>2787</v>
      </c>
      <c r="E394" s="8161" t="s">
        <v>2788</v>
      </c>
      <c r="F394" s="8161" t="s">
        <v>2291</v>
      </c>
      <c r="G394" s="8161" t="s">
        <v>2789</v>
      </c>
      <c r="H394" s="8161" t="s">
        <v>24</v>
      </c>
      <c r="I394" s="8161" t="s">
        <v>874</v>
      </c>
    </row>
    <row customHeight="1" ht="11.25">
      <c r="A395" s="8161" t="s">
        <v>2279</v>
      </c>
      <c r="B395" s="8161" t="s">
        <v>14</v>
      </c>
      <c r="C395" s="8161" t="s">
        <v>3338</v>
      </c>
      <c r="D395" s="8161" t="s">
        <v>3339</v>
      </c>
      <c r="E395" s="8161" t="s">
        <v>3340</v>
      </c>
      <c r="F395" s="8161" t="s">
        <v>2404</v>
      </c>
      <c r="G395" s="8161" t="s">
        <v>24</v>
      </c>
      <c r="H395" s="8161" t="s">
        <v>24</v>
      </c>
      <c r="I395" s="8161" t="s">
        <v>874</v>
      </c>
    </row>
    <row customHeight="1" ht="11.25">
      <c r="A396" s="8161" t="s">
        <v>2279</v>
      </c>
      <c r="B396" s="8161" t="s">
        <v>14</v>
      </c>
      <c r="C396" s="8161" t="s">
        <v>3341</v>
      </c>
      <c r="D396" s="8161" t="s">
        <v>3342</v>
      </c>
      <c r="E396" s="8161" t="s">
        <v>3343</v>
      </c>
      <c r="F396" s="8161" t="s">
        <v>2560</v>
      </c>
      <c r="G396" s="8161" t="s">
        <v>24</v>
      </c>
      <c r="H396" s="8161" t="s">
        <v>24</v>
      </c>
      <c r="I396" s="8161" t="s">
        <v>874</v>
      </c>
    </row>
    <row customHeight="1" ht="11.25">
      <c r="A397" s="8161" t="s">
        <v>2279</v>
      </c>
      <c r="B397" s="8161" t="s">
        <v>14</v>
      </c>
      <c r="C397" s="8161" t="s">
        <v>3344</v>
      </c>
      <c r="D397" s="8161" t="s">
        <v>3345</v>
      </c>
      <c r="E397" s="8161" t="s">
        <v>3346</v>
      </c>
      <c r="F397" s="8161" t="s">
        <v>3037</v>
      </c>
      <c r="G397" s="8161" t="s">
        <v>24</v>
      </c>
      <c r="H397" s="8161" t="s">
        <v>24</v>
      </c>
      <c r="I397" s="8161" t="s">
        <v>874</v>
      </c>
    </row>
    <row customHeight="1" ht="11.25">
      <c r="A398" s="8161" t="s">
        <v>2279</v>
      </c>
      <c r="B398" s="8161" t="s">
        <v>14</v>
      </c>
      <c r="C398" s="8161" t="s">
        <v>3347</v>
      </c>
      <c r="D398" s="8161" t="s">
        <v>3348</v>
      </c>
      <c r="E398" s="8161" t="s">
        <v>3349</v>
      </c>
      <c r="F398" s="8161" t="s">
        <v>2438</v>
      </c>
      <c r="G398" s="8161" t="s">
        <v>24</v>
      </c>
      <c r="H398" s="8161" t="s">
        <v>24</v>
      </c>
      <c r="I398" s="8161" t="s">
        <v>874</v>
      </c>
    </row>
    <row customHeight="1" ht="11.25">
      <c r="A399" s="8161" t="s">
        <v>2279</v>
      </c>
      <c r="B399" s="8161" t="s">
        <v>14</v>
      </c>
      <c r="C399" s="8161" t="s">
        <v>3350</v>
      </c>
      <c r="D399" s="8161" t="s">
        <v>3351</v>
      </c>
      <c r="E399" s="8161" t="s">
        <v>3352</v>
      </c>
      <c r="F399" s="8161" t="s">
        <v>2283</v>
      </c>
      <c r="G399" s="8161" t="s">
        <v>24</v>
      </c>
      <c r="H399" s="8161" t="s">
        <v>2457</v>
      </c>
      <c r="I399" s="8161" t="s">
        <v>874</v>
      </c>
    </row>
    <row customHeight="1" ht="11.25">
      <c r="A400" s="8161" t="s">
        <v>2279</v>
      </c>
      <c r="B400" s="8161" t="s">
        <v>14</v>
      </c>
      <c r="C400" s="8161" t="s">
        <v>3353</v>
      </c>
      <c r="D400" s="8161" t="s">
        <v>3354</v>
      </c>
      <c r="E400" s="8161" t="s">
        <v>3355</v>
      </c>
      <c r="F400" s="8161" t="s">
        <v>2283</v>
      </c>
      <c r="G400" s="8161" t="s">
        <v>24</v>
      </c>
      <c r="H400" s="8161" t="s">
        <v>3356</v>
      </c>
      <c r="I400" s="8161" t="s">
        <v>874</v>
      </c>
    </row>
    <row customHeight="1" ht="11.25">
      <c r="A401" s="8161" t="s">
        <v>2279</v>
      </c>
      <c r="B401" s="8161" t="s">
        <v>14</v>
      </c>
      <c r="C401" s="8161" t="s">
        <v>2808</v>
      </c>
      <c r="D401" s="8161" t="s">
        <v>2809</v>
      </c>
      <c r="E401" s="8161" t="s">
        <v>2810</v>
      </c>
      <c r="F401" s="8161" t="s">
        <v>2448</v>
      </c>
      <c r="G401" s="8161" t="s">
        <v>24</v>
      </c>
      <c r="H401" s="8161" t="s">
        <v>24</v>
      </c>
      <c r="I401" s="8161" t="s">
        <v>874</v>
      </c>
    </row>
    <row customHeight="1" ht="11.25">
      <c r="A402" s="8161" t="s">
        <v>2279</v>
      </c>
      <c r="B402" s="8161" t="s">
        <v>14</v>
      </c>
      <c r="C402" s="8161" t="s">
        <v>2811</v>
      </c>
      <c r="D402" s="8161" t="s">
        <v>2812</v>
      </c>
      <c r="E402" s="8161" t="s">
        <v>2813</v>
      </c>
      <c r="F402" s="8161" t="s">
        <v>2814</v>
      </c>
      <c r="G402" s="8161" t="s">
        <v>2815</v>
      </c>
      <c r="H402" s="8161" t="s">
        <v>24</v>
      </c>
      <c r="I402" s="8161" t="s">
        <v>874</v>
      </c>
    </row>
    <row customHeight="1" ht="11.25">
      <c r="A403" s="8161" t="s">
        <v>2279</v>
      </c>
      <c r="B403" s="8161" t="s">
        <v>14</v>
      </c>
      <c r="C403" s="8161" t="s">
        <v>2816</v>
      </c>
      <c r="D403" s="8161" t="s">
        <v>2817</v>
      </c>
      <c r="E403" s="8161" t="s">
        <v>2818</v>
      </c>
      <c r="F403" s="8161" t="s">
        <v>2448</v>
      </c>
      <c r="G403" s="8161" t="s">
        <v>24</v>
      </c>
      <c r="H403" s="8161" t="s">
        <v>24</v>
      </c>
      <c r="I403" s="8161" t="s">
        <v>874</v>
      </c>
    </row>
    <row customHeight="1" ht="11.25">
      <c r="A404" s="8161" t="s">
        <v>2279</v>
      </c>
      <c r="B404" s="8161" t="s">
        <v>14</v>
      </c>
      <c r="C404" s="8161" t="s">
        <v>2819</v>
      </c>
      <c r="D404" s="8161" t="s">
        <v>2820</v>
      </c>
      <c r="E404" s="8161" t="s">
        <v>2821</v>
      </c>
      <c r="F404" s="8161" t="s">
        <v>2339</v>
      </c>
      <c r="G404" s="8161" t="s">
        <v>24</v>
      </c>
      <c r="H404" s="8161" t="s">
        <v>2822</v>
      </c>
      <c r="I404" s="8161" t="s">
        <v>874</v>
      </c>
    </row>
    <row customHeight="1" ht="11.25">
      <c r="A405" s="8161" t="s">
        <v>2279</v>
      </c>
      <c r="B405" s="8161" t="s">
        <v>14</v>
      </c>
      <c r="C405" s="8161" t="s">
        <v>2826</v>
      </c>
      <c r="D405" s="8161" t="s">
        <v>2827</v>
      </c>
      <c r="E405" s="8161" t="s">
        <v>2828</v>
      </c>
      <c r="F405" s="8161" t="s">
        <v>2438</v>
      </c>
      <c r="G405" s="8161" t="s">
        <v>24</v>
      </c>
      <c r="H405" s="8161" t="s">
        <v>24</v>
      </c>
      <c r="I405" s="8161" t="s">
        <v>874</v>
      </c>
    </row>
    <row customHeight="1" ht="11.25">
      <c r="A406" s="8161" t="s">
        <v>2279</v>
      </c>
      <c r="B406" s="8161" t="s">
        <v>14</v>
      </c>
      <c r="C406" s="8161" t="s">
        <v>3357</v>
      </c>
      <c r="D406" s="8161" t="s">
        <v>3358</v>
      </c>
      <c r="E406" s="8161" t="s">
        <v>3359</v>
      </c>
      <c r="F406" s="8161" t="s">
        <v>2987</v>
      </c>
      <c r="G406" s="8161" t="s">
        <v>24</v>
      </c>
      <c r="H406" s="8161" t="s">
        <v>24</v>
      </c>
      <c r="I406" s="8161" t="s">
        <v>874</v>
      </c>
    </row>
    <row customHeight="1" ht="11.25">
      <c r="A407" s="8161" t="s">
        <v>2279</v>
      </c>
      <c r="B407" s="8161" t="s">
        <v>14</v>
      </c>
      <c r="C407" s="8161" t="s">
        <v>3360</v>
      </c>
      <c r="D407" s="8161" t="s">
        <v>3361</v>
      </c>
      <c r="E407" s="8161" t="s">
        <v>3362</v>
      </c>
      <c r="F407" s="8161" t="s">
        <v>2987</v>
      </c>
      <c r="G407" s="8161" t="s">
        <v>24</v>
      </c>
      <c r="H407" s="8161" t="s">
        <v>24</v>
      </c>
      <c r="I407" s="8161" t="s">
        <v>874</v>
      </c>
    </row>
    <row customHeight="1" ht="11.25">
      <c r="A408" s="8161" t="s">
        <v>2279</v>
      </c>
      <c r="B408" s="8161" t="s">
        <v>14</v>
      </c>
      <c r="C408" s="8161" t="s">
        <v>3363</v>
      </c>
      <c r="D408" s="8161" t="s">
        <v>3364</v>
      </c>
      <c r="E408" s="8161" t="s">
        <v>3365</v>
      </c>
      <c r="F408" s="8161" t="s">
        <v>2283</v>
      </c>
      <c r="G408" s="8161" t="s">
        <v>24</v>
      </c>
      <c r="H408" s="8161" t="s">
        <v>24</v>
      </c>
      <c r="I408" s="8161" t="s">
        <v>874</v>
      </c>
    </row>
    <row customHeight="1" ht="11.25">
      <c r="A409" s="8161" t="s">
        <v>2279</v>
      </c>
      <c r="B409" s="8161" t="s">
        <v>14</v>
      </c>
      <c r="C409" s="8161" t="s">
        <v>3366</v>
      </c>
      <c r="D409" s="8161" t="s">
        <v>3367</v>
      </c>
      <c r="E409" s="8161" t="s">
        <v>3368</v>
      </c>
      <c r="F409" s="8161" t="s">
        <v>2468</v>
      </c>
      <c r="G409" s="8161" t="s">
        <v>24</v>
      </c>
      <c r="H409" s="8161" t="s">
        <v>24</v>
      </c>
      <c r="I409" s="8161" t="s">
        <v>874</v>
      </c>
    </row>
    <row customHeight="1" ht="11.25">
      <c r="A410" s="8161" t="s">
        <v>2279</v>
      </c>
      <c r="B410" s="8161" t="s">
        <v>14</v>
      </c>
      <c r="C410" s="8161" t="s">
        <v>3369</v>
      </c>
      <c r="D410" s="8161" t="s">
        <v>3370</v>
      </c>
      <c r="E410" s="8161" t="s">
        <v>3371</v>
      </c>
      <c r="F410" s="8161" t="s">
        <v>2509</v>
      </c>
      <c r="G410" s="8161" t="s">
        <v>24</v>
      </c>
      <c r="H410" s="8161" t="s">
        <v>24</v>
      </c>
      <c r="I410" s="8161" t="s">
        <v>874</v>
      </c>
    </row>
    <row customHeight="1" ht="11.25">
      <c r="A411" s="8161" t="s">
        <v>2279</v>
      </c>
      <c r="B411" s="8161" t="s">
        <v>14</v>
      </c>
      <c r="C411" s="8161" t="s">
        <v>2842</v>
      </c>
      <c r="D411" s="8161" t="s">
        <v>2843</v>
      </c>
      <c r="E411" s="8161" t="s">
        <v>2844</v>
      </c>
      <c r="F411" s="8161" t="s">
        <v>2468</v>
      </c>
      <c r="G411" s="8161" t="s">
        <v>24</v>
      </c>
      <c r="H411" s="8161" t="s">
        <v>24</v>
      </c>
      <c r="I411" s="8161" t="s">
        <v>874</v>
      </c>
    </row>
    <row customHeight="1" ht="11.25">
      <c r="A412" s="8161" t="s">
        <v>2279</v>
      </c>
      <c r="B412" s="8161" t="s">
        <v>14</v>
      </c>
      <c r="C412" s="8161" t="s">
        <v>3372</v>
      </c>
      <c r="D412" s="8161" t="s">
        <v>3373</v>
      </c>
      <c r="E412" s="8161" t="s">
        <v>2685</v>
      </c>
      <c r="F412" s="8161" t="s">
        <v>2335</v>
      </c>
      <c r="G412" s="8161" t="s">
        <v>24</v>
      </c>
      <c r="H412" s="8161" t="s">
        <v>3374</v>
      </c>
      <c r="I412" s="8161" t="s">
        <v>874</v>
      </c>
    </row>
    <row customHeight="1" ht="11.25">
      <c r="A413" s="8161" t="s">
        <v>2279</v>
      </c>
      <c r="B413" s="8161" t="s">
        <v>14</v>
      </c>
      <c r="C413" s="8161" t="s">
        <v>3375</v>
      </c>
      <c r="D413" s="8161" t="s">
        <v>3376</v>
      </c>
      <c r="E413" s="8161" t="s">
        <v>2685</v>
      </c>
      <c r="F413" s="8161" t="s">
        <v>3377</v>
      </c>
      <c r="G413" s="8161" t="s">
        <v>24</v>
      </c>
      <c r="H413" s="8161" t="s">
        <v>3374</v>
      </c>
      <c r="I413" s="8161" t="s">
        <v>874</v>
      </c>
    </row>
    <row customHeight="1" ht="11.25">
      <c r="A414" s="8161" t="s">
        <v>2279</v>
      </c>
      <c r="B414" s="8161" t="s">
        <v>14</v>
      </c>
      <c r="C414" s="8161" t="s">
        <v>3378</v>
      </c>
      <c r="D414" s="8161" t="s">
        <v>3379</v>
      </c>
      <c r="E414" s="8161" t="s">
        <v>3380</v>
      </c>
      <c r="F414" s="8161" t="s">
        <v>2438</v>
      </c>
      <c r="G414" s="8161" t="s">
        <v>24</v>
      </c>
      <c r="H414" s="8161" t="s">
        <v>24</v>
      </c>
      <c r="I414" s="8161" t="s">
        <v>874</v>
      </c>
    </row>
    <row customHeight="1" ht="11.25">
      <c r="A415" s="8161" t="s">
        <v>2279</v>
      </c>
      <c r="B415" s="8161" t="s">
        <v>14</v>
      </c>
      <c r="C415" s="8161" t="s">
        <v>3381</v>
      </c>
      <c r="D415" s="8161" t="s">
        <v>3382</v>
      </c>
      <c r="E415" s="8161" t="s">
        <v>3383</v>
      </c>
      <c r="F415" s="8161" t="s">
        <v>3094</v>
      </c>
      <c r="G415" s="8161" t="s">
        <v>3384</v>
      </c>
      <c r="H415" s="8161" t="s">
        <v>24</v>
      </c>
      <c r="I415" s="8161" t="s">
        <v>874</v>
      </c>
    </row>
    <row customHeight="1" ht="11.25">
      <c r="A416" s="8161" t="s">
        <v>2279</v>
      </c>
      <c r="B416" s="8161" t="s">
        <v>14</v>
      </c>
      <c r="C416" s="8161" t="s">
        <v>3385</v>
      </c>
      <c r="D416" s="8161" t="s">
        <v>3386</v>
      </c>
      <c r="E416" s="8161" t="s">
        <v>3387</v>
      </c>
      <c r="F416" s="8161" t="s">
        <v>2404</v>
      </c>
      <c r="G416" s="8161" t="s">
        <v>24</v>
      </c>
      <c r="H416" s="8161" t="s">
        <v>24</v>
      </c>
      <c r="I416" s="8161" t="s">
        <v>874</v>
      </c>
    </row>
    <row customHeight="1" ht="11.25">
      <c r="A417" s="8161" t="s">
        <v>2279</v>
      </c>
      <c r="B417" s="8161" t="s">
        <v>14</v>
      </c>
      <c r="C417" s="8161" t="s">
        <v>3388</v>
      </c>
      <c r="D417" s="8161" t="s">
        <v>3389</v>
      </c>
      <c r="E417" s="8161" t="s">
        <v>3390</v>
      </c>
      <c r="F417" s="8161" t="s">
        <v>2480</v>
      </c>
      <c r="G417" s="8161" t="s">
        <v>24</v>
      </c>
      <c r="H417" s="8161" t="s">
        <v>3391</v>
      </c>
      <c r="I417" s="8161" t="s">
        <v>874</v>
      </c>
    </row>
    <row customHeight="1" ht="11.25">
      <c r="A418" s="8161" t="s">
        <v>2279</v>
      </c>
      <c r="B418" s="8161" t="s">
        <v>14</v>
      </c>
      <c r="C418" s="8161" t="s">
        <v>3392</v>
      </c>
      <c r="D418" s="8161" t="s">
        <v>3393</v>
      </c>
      <c r="E418" s="8161" t="s">
        <v>3394</v>
      </c>
      <c r="F418" s="8161" t="s">
        <v>2367</v>
      </c>
      <c r="G418" s="8161" t="s">
        <v>24</v>
      </c>
      <c r="H418" s="8161" t="s">
        <v>3395</v>
      </c>
      <c r="I418" s="8161" t="s">
        <v>874</v>
      </c>
    </row>
    <row customHeight="1" ht="11.25">
      <c r="A419" s="8161" t="s">
        <v>2279</v>
      </c>
      <c r="B419" s="8161" t="s">
        <v>14</v>
      </c>
      <c r="C419" s="8161" t="s">
        <v>3396</v>
      </c>
      <c r="D419" s="8161" t="s">
        <v>3397</v>
      </c>
      <c r="E419" s="8161" t="s">
        <v>3398</v>
      </c>
      <c r="F419" s="8161" t="s">
        <v>2873</v>
      </c>
      <c r="G419" s="8161" t="s">
        <v>24</v>
      </c>
      <c r="H419" s="8161" t="s">
        <v>3134</v>
      </c>
      <c r="I419" s="8161" t="s">
        <v>874</v>
      </c>
    </row>
    <row customHeight="1" ht="11.25">
      <c r="A420" s="8161" t="s">
        <v>2279</v>
      </c>
      <c r="B420" s="8161" t="s">
        <v>14</v>
      </c>
      <c r="C420" s="8161" t="s">
        <v>3399</v>
      </c>
      <c r="D420" s="8161" t="s">
        <v>3400</v>
      </c>
      <c r="E420" s="8161" t="s">
        <v>3401</v>
      </c>
      <c r="F420" s="8161" t="s">
        <v>2291</v>
      </c>
      <c r="G420" s="8161" t="s">
        <v>24</v>
      </c>
      <c r="H420" s="8161" t="s">
        <v>3134</v>
      </c>
      <c r="I420" s="8161" t="s">
        <v>874</v>
      </c>
    </row>
    <row customHeight="1" ht="11.25">
      <c r="A421" s="8161" t="s">
        <v>2279</v>
      </c>
      <c r="B421" s="8161" t="s">
        <v>14</v>
      </c>
      <c r="C421" s="8161" t="s">
        <v>3402</v>
      </c>
      <c r="D421" s="8161" t="s">
        <v>3403</v>
      </c>
      <c r="E421" s="8161" t="s">
        <v>3404</v>
      </c>
      <c r="F421" s="8161" t="s">
        <v>2283</v>
      </c>
      <c r="G421" s="8161" t="s">
        <v>24</v>
      </c>
      <c r="H421" s="8161" t="s">
        <v>3405</v>
      </c>
      <c r="I421" s="8161" t="s">
        <v>874</v>
      </c>
    </row>
    <row customHeight="1" ht="11.25">
      <c r="A422" s="8161" t="s">
        <v>2279</v>
      </c>
      <c r="B422" s="8161" t="s">
        <v>14</v>
      </c>
      <c r="C422" s="8161" t="s">
        <v>3406</v>
      </c>
      <c r="D422" s="8161" t="s">
        <v>3407</v>
      </c>
      <c r="E422" s="8161" t="s">
        <v>3408</v>
      </c>
      <c r="F422" s="8161" t="s">
        <v>2283</v>
      </c>
      <c r="G422" s="8161" t="s">
        <v>24</v>
      </c>
      <c r="H422" s="8161" t="s">
        <v>3409</v>
      </c>
      <c r="I422" s="8161" t="s">
        <v>874</v>
      </c>
    </row>
    <row customHeight="1" ht="11.25">
      <c r="A423" s="8161" t="s">
        <v>2279</v>
      </c>
      <c r="B423" s="8161" t="s">
        <v>14</v>
      </c>
      <c r="C423" s="8161" t="s">
        <v>3410</v>
      </c>
      <c r="D423" s="8161" t="s">
        <v>3411</v>
      </c>
      <c r="E423" s="8161" t="s">
        <v>3412</v>
      </c>
      <c r="F423" s="8161" t="s">
        <v>2430</v>
      </c>
      <c r="G423" s="8161" t="s">
        <v>24</v>
      </c>
      <c r="H423" s="8161" t="s">
        <v>24</v>
      </c>
      <c r="I423" s="8161" t="s">
        <v>874</v>
      </c>
    </row>
    <row customHeight="1" ht="11.25">
      <c r="A424" s="8161" t="s">
        <v>2279</v>
      </c>
      <c r="B424" s="8161" t="s">
        <v>14</v>
      </c>
      <c r="C424" s="8161" t="s">
        <v>3413</v>
      </c>
      <c r="D424" s="8161" t="s">
        <v>3414</v>
      </c>
      <c r="E424" s="8161" t="s">
        <v>3415</v>
      </c>
      <c r="F424" s="8161" t="s">
        <v>2296</v>
      </c>
      <c r="G424" s="8161" t="s">
        <v>24</v>
      </c>
      <c r="H424" s="8161" t="s">
        <v>3416</v>
      </c>
      <c r="I424" s="8161" t="s">
        <v>874</v>
      </c>
    </row>
    <row customHeight="1" ht="11.25">
      <c r="A425" s="8161" t="s">
        <v>2279</v>
      </c>
      <c r="B425" s="8161" t="s">
        <v>14</v>
      </c>
      <c r="C425" s="8161" t="s">
        <v>3417</v>
      </c>
      <c r="D425" s="8161" t="s">
        <v>3418</v>
      </c>
      <c r="E425" s="8161" t="s">
        <v>3419</v>
      </c>
      <c r="F425" s="8161" t="s">
        <v>2296</v>
      </c>
      <c r="G425" s="8161" t="s">
        <v>24</v>
      </c>
      <c r="H425" s="8161" t="s">
        <v>24</v>
      </c>
      <c r="I425" s="8161" t="s">
        <v>874</v>
      </c>
    </row>
    <row customHeight="1" ht="11.25">
      <c r="A426" s="8161" t="s">
        <v>2279</v>
      </c>
      <c r="B426" s="8161" t="s">
        <v>14</v>
      </c>
      <c r="C426" s="8161" t="s">
        <v>3420</v>
      </c>
      <c r="D426" s="8161" t="s">
        <v>3421</v>
      </c>
      <c r="E426" s="8161" t="s">
        <v>3422</v>
      </c>
      <c r="F426" s="8161" t="s">
        <v>2480</v>
      </c>
      <c r="G426" s="8161" t="s">
        <v>24</v>
      </c>
      <c r="H426" s="8161" t="s">
        <v>24</v>
      </c>
      <c r="I426" s="8161" t="s">
        <v>874</v>
      </c>
    </row>
    <row customHeight="1" ht="11.25">
      <c r="A427" s="8161" t="s">
        <v>2279</v>
      </c>
      <c r="B427" s="8161" t="s">
        <v>14</v>
      </c>
      <c r="C427" s="8161" t="s">
        <v>3423</v>
      </c>
      <c r="D427" s="8161" t="s">
        <v>3424</v>
      </c>
      <c r="E427" s="8161" t="s">
        <v>3425</v>
      </c>
      <c r="F427" s="8161" t="s">
        <v>2480</v>
      </c>
      <c r="G427" s="8161" t="s">
        <v>24</v>
      </c>
      <c r="H427" s="8161" t="s">
        <v>3134</v>
      </c>
      <c r="I427" s="8161" t="s">
        <v>874</v>
      </c>
    </row>
    <row customHeight="1" ht="11.25">
      <c r="A428" s="8161" t="s">
        <v>2279</v>
      </c>
      <c r="B428" s="8161" t="s">
        <v>14</v>
      </c>
      <c r="C428" s="8161" t="s">
        <v>3426</v>
      </c>
      <c r="D428" s="8161" t="s">
        <v>3427</v>
      </c>
      <c r="E428" s="8161" t="s">
        <v>3428</v>
      </c>
      <c r="F428" s="8161" t="s">
        <v>2283</v>
      </c>
      <c r="G428" s="8161" t="s">
        <v>24</v>
      </c>
      <c r="H428" s="8161" t="s">
        <v>3134</v>
      </c>
      <c r="I428" s="8161" t="s">
        <v>874</v>
      </c>
    </row>
    <row customHeight="1" ht="11.25">
      <c r="A429" s="8161" t="s">
        <v>2279</v>
      </c>
      <c r="B429" s="8161" t="s">
        <v>14</v>
      </c>
      <c r="C429" s="8161" t="s">
        <v>3429</v>
      </c>
      <c r="D429" s="8161" t="s">
        <v>3430</v>
      </c>
      <c r="E429" s="8161" t="s">
        <v>3431</v>
      </c>
      <c r="F429" s="8161" t="s">
        <v>2987</v>
      </c>
      <c r="G429" s="8161" t="s">
        <v>3432</v>
      </c>
      <c r="H429" s="8161" t="s">
        <v>24</v>
      </c>
      <c r="I429" s="8161" t="s">
        <v>874</v>
      </c>
    </row>
    <row customHeight="1" ht="11.25">
      <c r="A430" s="8161" t="s">
        <v>2279</v>
      </c>
      <c r="B430" s="8161" t="s">
        <v>14</v>
      </c>
      <c r="C430" s="8161" t="s">
        <v>3433</v>
      </c>
      <c r="D430" s="8161" t="s">
        <v>3434</v>
      </c>
      <c r="E430" s="8161" t="s">
        <v>3412</v>
      </c>
      <c r="F430" s="8161" t="s">
        <v>2430</v>
      </c>
      <c r="G430" s="8161" t="s">
        <v>24</v>
      </c>
      <c r="H430" s="8161" t="s">
        <v>2485</v>
      </c>
      <c r="I430" s="8161" t="s">
        <v>874</v>
      </c>
    </row>
    <row customHeight="1" ht="11.25">
      <c r="A431" s="8161" t="s">
        <v>2279</v>
      </c>
      <c r="B431" s="8161" t="s">
        <v>14</v>
      </c>
      <c r="C431" s="8161" t="s">
        <v>3435</v>
      </c>
      <c r="D431" s="8161" t="s">
        <v>3436</v>
      </c>
      <c r="E431" s="8161" t="s">
        <v>3437</v>
      </c>
      <c r="F431" s="8161" t="s">
        <v>2359</v>
      </c>
      <c r="G431" s="8161" t="s">
        <v>24</v>
      </c>
      <c r="H431" s="8161" t="s">
        <v>3134</v>
      </c>
      <c r="I431" s="8161" t="s">
        <v>874</v>
      </c>
    </row>
    <row customHeight="1" ht="11.25">
      <c r="A432" s="8161" t="s">
        <v>2279</v>
      </c>
      <c r="B432" s="8161" t="s">
        <v>14</v>
      </c>
      <c r="C432" s="8161" t="s">
        <v>3438</v>
      </c>
      <c r="D432" s="8161" t="s">
        <v>3439</v>
      </c>
      <c r="E432" s="8161" t="s">
        <v>3440</v>
      </c>
      <c r="F432" s="8161" t="s">
        <v>2359</v>
      </c>
      <c r="G432" s="8161" t="s">
        <v>24</v>
      </c>
      <c r="H432" s="8161" t="s">
        <v>24</v>
      </c>
      <c r="I432" s="8161" t="s">
        <v>874</v>
      </c>
    </row>
    <row customHeight="1" ht="11.25">
      <c r="A433" s="8161" t="s">
        <v>2279</v>
      </c>
      <c r="B433" s="8161" t="s">
        <v>14</v>
      </c>
      <c r="C433" s="8161" t="s">
        <v>2874</v>
      </c>
      <c r="D433" s="8161" t="s">
        <v>2875</v>
      </c>
      <c r="E433" s="8161" t="s">
        <v>2876</v>
      </c>
      <c r="F433" s="8161" t="s">
        <v>2283</v>
      </c>
      <c r="G433" s="8161" t="s">
        <v>24</v>
      </c>
      <c r="H433" s="8161" t="s">
        <v>24</v>
      </c>
      <c r="I433" s="8161" t="s">
        <v>874</v>
      </c>
    </row>
    <row customHeight="1" ht="11.25">
      <c r="A434" s="8161" t="s">
        <v>2279</v>
      </c>
      <c r="B434" s="8161" t="s">
        <v>14</v>
      </c>
      <c r="C434" s="8161" t="s">
        <v>24</v>
      </c>
      <c r="D434" s="8161" t="s">
        <v>2285</v>
      </c>
      <c r="E434" s="8161" t="s">
        <v>2286</v>
      </c>
      <c r="F434" s="8161" t="s">
        <v>2287</v>
      </c>
      <c r="G434" s="8161" t="s">
        <v>24</v>
      </c>
      <c r="H434" s="8161" t="s">
        <v>24</v>
      </c>
      <c r="I434" s="8161" t="s">
        <v>929</v>
      </c>
    </row>
    <row customHeight="1" ht="11.25">
      <c r="A435" s="8161" t="s">
        <v>2279</v>
      </c>
      <c r="B435" s="8161" t="s">
        <v>14</v>
      </c>
      <c r="C435" s="8161" t="s">
        <v>2293</v>
      </c>
      <c r="D435" s="8161" t="s">
        <v>2294</v>
      </c>
      <c r="E435" s="8161" t="s">
        <v>2295</v>
      </c>
      <c r="F435" s="8161" t="s">
        <v>2296</v>
      </c>
      <c r="G435" s="8161" t="s">
        <v>24</v>
      </c>
      <c r="H435" s="8161" t="s">
        <v>24</v>
      </c>
      <c r="I435" s="8161" t="s">
        <v>929</v>
      </c>
    </row>
    <row customHeight="1" ht="11.25">
      <c r="A436" s="8161" t="s">
        <v>2279</v>
      </c>
      <c r="B436" s="8161" t="s">
        <v>14</v>
      </c>
      <c r="C436" s="8161" t="s">
        <v>2301</v>
      </c>
      <c r="D436" s="8161" t="s">
        <v>2302</v>
      </c>
      <c r="E436" s="8161" t="s">
        <v>2303</v>
      </c>
      <c r="F436" s="8161" t="s">
        <v>2304</v>
      </c>
      <c r="G436" s="8161" t="s">
        <v>24</v>
      </c>
      <c r="H436" s="8161" t="s">
        <v>2305</v>
      </c>
      <c r="I436" s="8161" t="s">
        <v>929</v>
      </c>
    </row>
    <row customHeight="1" ht="11.25">
      <c r="A437" s="8161" t="s">
        <v>2279</v>
      </c>
      <c r="B437" s="8161" t="s">
        <v>14</v>
      </c>
      <c r="C437" s="8161" t="s">
        <v>2306</v>
      </c>
      <c r="D437" s="8161" t="s">
        <v>2307</v>
      </c>
      <c r="E437" s="8161" t="s">
        <v>2308</v>
      </c>
      <c r="F437" s="8161" t="s">
        <v>2309</v>
      </c>
      <c r="G437" s="8161" t="s">
        <v>2310</v>
      </c>
      <c r="H437" s="8161" t="s">
        <v>2311</v>
      </c>
      <c r="I437" s="8161" t="s">
        <v>929</v>
      </c>
    </row>
    <row customHeight="1" ht="11.25">
      <c r="A438" s="8161" t="s">
        <v>2279</v>
      </c>
      <c r="B438" s="8161" t="s">
        <v>14</v>
      </c>
      <c r="C438" s="8161" t="s">
        <v>2312</v>
      </c>
      <c r="D438" s="8161" t="s">
        <v>2313</v>
      </c>
      <c r="E438" s="8161" t="s">
        <v>2314</v>
      </c>
      <c r="F438" s="8161" t="s">
        <v>2315</v>
      </c>
      <c r="G438" s="8161" t="s">
        <v>24</v>
      </c>
      <c r="H438" s="8161" t="s">
        <v>24</v>
      </c>
      <c r="I438" s="8161" t="s">
        <v>929</v>
      </c>
    </row>
    <row customHeight="1" ht="11.25">
      <c r="A439" s="8161" t="s">
        <v>2279</v>
      </c>
      <c r="B439" s="8161" t="s">
        <v>14</v>
      </c>
      <c r="C439" s="8161" t="s">
        <v>2320</v>
      </c>
      <c r="D439" s="8161" t="s">
        <v>2317</v>
      </c>
      <c r="E439" s="8161" t="s">
        <v>2318</v>
      </c>
      <c r="F439" s="8161" t="s">
        <v>2321</v>
      </c>
      <c r="G439" s="8161" t="s">
        <v>2322</v>
      </c>
      <c r="H439" s="8161" t="s">
        <v>24</v>
      </c>
      <c r="I439" s="8161" t="s">
        <v>929</v>
      </c>
    </row>
    <row customHeight="1" ht="11.25">
      <c r="A440" s="8161" t="s">
        <v>2279</v>
      </c>
      <c r="B440" s="8161" t="s">
        <v>14</v>
      </c>
      <c r="C440" s="8161" t="s">
        <v>2329</v>
      </c>
      <c r="D440" s="8161" t="s">
        <v>2330</v>
      </c>
      <c r="E440" s="8161" t="s">
        <v>2331</v>
      </c>
      <c r="F440" s="8161" t="s">
        <v>2283</v>
      </c>
      <c r="G440" s="8161" t="s">
        <v>24</v>
      </c>
      <c r="H440" s="8161" t="s">
        <v>24</v>
      </c>
      <c r="I440" s="8161" t="s">
        <v>929</v>
      </c>
    </row>
    <row customHeight="1" ht="11.25">
      <c r="A441" s="8161" t="s">
        <v>2279</v>
      </c>
      <c r="B441" s="8161" t="s">
        <v>14</v>
      </c>
      <c r="C441" s="8161" t="s">
        <v>2336</v>
      </c>
      <c r="D441" s="8161" t="s">
        <v>2337</v>
      </c>
      <c r="E441" s="8161" t="s">
        <v>2338</v>
      </c>
      <c r="F441" s="8161" t="s">
        <v>2339</v>
      </c>
      <c r="G441" s="8161" t="s">
        <v>24</v>
      </c>
      <c r="H441" s="8161" t="s">
        <v>24</v>
      </c>
      <c r="I441" s="8161" t="s">
        <v>929</v>
      </c>
    </row>
    <row customHeight="1" ht="11.25">
      <c r="A442" s="8161" t="s">
        <v>2279</v>
      </c>
      <c r="B442" s="8161" t="s">
        <v>14</v>
      </c>
      <c r="C442" s="8161" t="s">
        <v>2904</v>
      </c>
      <c r="D442" s="8161" t="s">
        <v>2905</v>
      </c>
      <c r="E442" s="8161" t="s">
        <v>2906</v>
      </c>
      <c r="F442" s="8161" t="s">
        <v>2599</v>
      </c>
      <c r="G442" s="8161" t="s">
        <v>2907</v>
      </c>
      <c r="H442" s="8161" t="s">
        <v>24</v>
      </c>
      <c r="I442" s="8161" t="s">
        <v>929</v>
      </c>
    </row>
    <row customHeight="1" ht="11.25">
      <c r="A443" s="8161" t="s">
        <v>2279</v>
      </c>
      <c r="B443" s="8161" t="s">
        <v>14</v>
      </c>
      <c r="C443" s="8161" t="s">
        <v>3441</v>
      </c>
      <c r="D443" s="8161" t="s">
        <v>3442</v>
      </c>
      <c r="E443" s="8161" t="s">
        <v>3443</v>
      </c>
      <c r="F443" s="8161" t="s">
        <v>2287</v>
      </c>
      <c r="G443" s="8161" t="s">
        <v>24</v>
      </c>
      <c r="H443" s="8161" t="s">
        <v>24</v>
      </c>
      <c r="I443" s="8161" t="s">
        <v>929</v>
      </c>
    </row>
    <row customHeight="1" ht="11.25">
      <c r="A444" s="8161" t="s">
        <v>2279</v>
      </c>
      <c r="B444" s="8161" t="s">
        <v>14</v>
      </c>
      <c r="C444" s="8161" t="s">
        <v>2345</v>
      </c>
      <c r="D444" s="8161" t="s">
        <v>2346</v>
      </c>
      <c r="E444" s="8161" t="s">
        <v>2347</v>
      </c>
      <c r="F444" s="8161" t="s">
        <v>2300</v>
      </c>
      <c r="G444" s="8161" t="s">
        <v>24</v>
      </c>
      <c r="H444" s="8161" t="s">
        <v>24</v>
      </c>
      <c r="I444" s="8161" t="s">
        <v>929</v>
      </c>
    </row>
    <row customHeight="1" ht="11.25">
      <c r="A445" s="8161" t="s">
        <v>2279</v>
      </c>
      <c r="B445" s="8161" t="s">
        <v>14</v>
      </c>
      <c r="C445" s="8161" t="s">
        <v>2348</v>
      </c>
      <c r="D445" s="8161" t="s">
        <v>2349</v>
      </c>
      <c r="E445" s="8161" t="s">
        <v>2350</v>
      </c>
      <c r="F445" s="8161" t="s">
        <v>2291</v>
      </c>
      <c r="G445" s="8161" t="s">
        <v>24</v>
      </c>
      <c r="H445" s="8161" t="s">
        <v>24</v>
      </c>
      <c r="I445" s="8161" t="s">
        <v>929</v>
      </c>
    </row>
    <row customHeight="1" ht="11.25">
      <c r="A446" s="8161" t="s">
        <v>2279</v>
      </c>
      <c r="B446" s="8161" t="s">
        <v>14</v>
      </c>
      <c r="C446" s="8161" t="s">
        <v>2908</v>
      </c>
      <c r="D446" s="8161" t="s">
        <v>2909</v>
      </c>
      <c r="E446" s="8161" t="s">
        <v>2910</v>
      </c>
      <c r="F446" s="8161" t="s">
        <v>2283</v>
      </c>
      <c r="G446" s="8161" t="s">
        <v>2911</v>
      </c>
      <c r="H446" s="8161" t="s">
        <v>24</v>
      </c>
      <c r="I446" s="8161" t="s">
        <v>929</v>
      </c>
    </row>
    <row customHeight="1" ht="11.25">
      <c r="A447" s="8161" t="s">
        <v>2279</v>
      </c>
      <c r="B447" s="8161" t="s">
        <v>14</v>
      </c>
      <c r="C447" s="8161" t="s">
        <v>2912</v>
      </c>
      <c r="D447" s="8161" t="s">
        <v>2913</v>
      </c>
      <c r="E447" s="8161" t="s">
        <v>2914</v>
      </c>
      <c r="F447" s="8161" t="s">
        <v>2300</v>
      </c>
      <c r="G447" s="8161" t="s">
        <v>24</v>
      </c>
      <c r="H447" s="8161" t="s">
        <v>24</v>
      </c>
      <c r="I447" s="8161" t="s">
        <v>929</v>
      </c>
    </row>
    <row customHeight="1" ht="11.25">
      <c r="A448" s="8161" t="s">
        <v>2279</v>
      </c>
      <c r="B448" s="8161" t="s">
        <v>14</v>
      </c>
      <c r="C448" s="8161" t="s">
        <v>2364</v>
      </c>
      <c r="D448" s="8161" t="s">
        <v>2365</v>
      </c>
      <c r="E448" s="8161" t="s">
        <v>2366</v>
      </c>
      <c r="F448" s="8161" t="s">
        <v>2367</v>
      </c>
      <c r="G448" s="8161" t="s">
        <v>24</v>
      </c>
      <c r="H448" s="8161" t="s">
        <v>24</v>
      </c>
      <c r="I448" s="8161" t="s">
        <v>929</v>
      </c>
    </row>
    <row customHeight="1" ht="11.25">
      <c r="A449" s="8161" t="s">
        <v>2279</v>
      </c>
      <c r="B449" s="8161" t="s">
        <v>14</v>
      </c>
      <c r="C449" s="8161" t="s">
        <v>2915</v>
      </c>
      <c r="D449" s="8161" t="s">
        <v>2916</v>
      </c>
      <c r="E449" s="8161" t="s">
        <v>2917</v>
      </c>
      <c r="F449" s="8161" t="s">
        <v>2873</v>
      </c>
      <c r="G449" s="8161" t="s">
        <v>2918</v>
      </c>
      <c r="H449" s="8161" t="s">
        <v>24</v>
      </c>
      <c r="I449" s="8161" t="s">
        <v>929</v>
      </c>
    </row>
    <row customHeight="1" ht="11.25">
      <c r="A450" s="8161" t="s">
        <v>2279</v>
      </c>
      <c r="B450" s="8161" t="s">
        <v>14</v>
      </c>
      <c r="C450" s="8161" t="s">
        <v>2376</v>
      </c>
      <c r="D450" s="8161" t="s">
        <v>2377</v>
      </c>
      <c r="E450" s="8161" t="s">
        <v>2378</v>
      </c>
      <c r="F450" s="8161" t="s">
        <v>2287</v>
      </c>
      <c r="G450" s="8161" t="s">
        <v>2379</v>
      </c>
      <c r="H450" s="8161" t="s">
        <v>24</v>
      </c>
      <c r="I450" s="8161" t="s">
        <v>929</v>
      </c>
    </row>
    <row customHeight="1" ht="11.25">
      <c r="A451" s="8161" t="s">
        <v>2279</v>
      </c>
      <c r="B451" s="8161" t="s">
        <v>14</v>
      </c>
      <c r="C451" s="8161" t="s">
        <v>2919</v>
      </c>
      <c r="D451" s="8161" t="s">
        <v>2920</v>
      </c>
      <c r="E451" s="8161" t="s">
        <v>2921</v>
      </c>
      <c r="F451" s="8161" t="s">
        <v>2922</v>
      </c>
      <c r="G451" s="8161" t="s">
        <v>24</v>
      </c>
      <c r="H451" s="8161" t="s">
        <v>24</v>
      </c>
      <c r="I451" s="8161" t="s">
        <v>929</v>
      </c>
    </row>
    <row customHeight="1" ht="11.25">
      <c r="A452" s="8161" t="s">
        <v>2279</v>
      </c>
      <c r="B452" s="8161" t="s">
        <v>14</v>
      </c>
      <c r="C452" s="8161" t="s">
        <v>2398</v>
      </c>
      <c r="D452" s="8161" t="s">
        <v>2399</v>
      </c>
      <c r="E452" s="8161" t="s">
        <v>2396</v>
      </c>
      <c r="F452" s="8161" t="s">
        <v>2400</v>
      </c>
      <c r="G452" s="8161" t="s">
        <v>24</v>
      </c>
      <c r="H452" s="8161" t="s">
        <v>24</v>
      </c>
      <c r="I452" s="8161" t="s">
        <v>929</v>
      </c>
    </row>
    <row customHeight="1" ht="11.25">
      <c r="A453" s="8161" t="s">
        <v>2279</v>
      </c>
      <c r="B453" s="8161" t="s">
        <v>14</v>
      </c>
      <c r="C453" s="8161" t="s">
        <v>2923</v>
      </c>
      <c r="D453" s="8161" t="s">
        <v>2924</v>
      </c>
      <c r="E453" s="8161" t="s">
        <v>2925</v>
      </c>
      <c r="F453" s="8161" t="s">
        <v>2438</v>
      </c>
      <c r="G453" s="8161" t="s">
        <v>24</v>
      </c>
      <c r="H453" s="8161" t="s">
        <v>24</v>
      </c>
      <c r="I453" s="8161" t="s">
        <v>929</v>
      </c>
    </row>
    <row customHeight="1" ht="11.25">
      <c r="A454" s="8161" t="s">
        <v>2279</v>
      </c>
      <c r="B454" s="8161" t="s">
        <v>14</v>
      </c>
      <c r="C454" s="8161" t="s">
        <v>2926</v>
      </c>
      <c r="D454" s="8161" t="s">
        <v>2927</v>
      </c>
      <c r="E454" s="8161" t="s">
        <v>2928</v>
      </c>
      <c r="F454" s="8161" t="s">
        <v>2339</v>
      </c>
      <c r="G454" s="8161" t="s">
        <v>24</v>
      </c>
      <c r="H454" s="8161" t="s">
        <v>2929</v>
      </c>
      <c r="I454" s="8161" t="s">
        <v>929</v>
      </c>
    </row>
    <row customHeight="1" ht="11.25">
      <c r="A455" s="8161" t="s">
        <v>2279</v>
      </c>
      <c r="B455" s="8161" t="s">
        <v>14</v>
      </c>
      <c r="C455" s="8161" t="s">
        <v>2415</v>
      </c>
      <c r="D455" s="8161" t="s">
        <v>2416</v>
      </c>
      <c r="E455" s="8161" t="s">
        <v>2417</v>
      </c>
      <c r="F455" s="8161" t="s">
        <v>2418</v>
      </c>
      <c r="G455" s="8161" t="s">
        <v>24</v>
      </c>
      <c r="H455" s="8161" t="s">
        <v>2419</v>
      </c>
      <c r="I455" s="8161" t="s">
        <v>929</v>
      </c>
    </row>
    <row customHeight="1" ht="11.25">
      <c r="A456" s="8161" t="s">
        <v>2279</v>
      </c>
      <c r="B456" s="8161" t="s">
        <v>14</v>
      </c>
      <c r="C456" s="8161" t="s">
        <v>2933</v>
      </c>
      <c r="D456" s="8161" t="s">
        <v>2934</v>
      </c>
      <c r="E456" s="8161" t="s">
        <v>2935</v>
      </c>
      <c r="F456" s="8161" t="s">
        <v>681</v>
      </c>
      <c r="G456" s="8161" t="s">
        <v>24</v>
      </c>
      <c r="H456" s="8161" t="s">
        <v>24</v>
      </c>
      <c r="I456" s="8161" t="s">
        <v>929</v>
      </c>
    </row>
    <row customHeight="1" ht="11.25">
      <c r="A457" s="8161" t="s">
        <v>2279</v>
      </c>
      <c r="B457" s="8161" t="s">
        <v>14</v>
      </c>
      <c r="C457" s="8161" t="s">
        <v>2939</v>
      </c>
      <c r="D457" s="8161" t="s">
        <v>43</v>
      </c>
      <c r="E457" s="8161" t="s">
        <v>46</v>
      </c>
      <c r="F457" s="8161" t="s">
        <v>2940</v>
      </c>
      <c r="G457" s="8161" t="s">
        <v>24</v>
      </c>
      <c r="H457" s="8161" t="s">
        <v>24</v>
      </c>
      <c r="I457" s="8161" t="s">
        <v>929</v>
      </c>
    </row>
    <row customHeight="1" ht="11.25">
      <c r="A458" s="8161" t="s">
        <v>2279</v>
      </c>
      <c r="B458" s="8161" t="s">
        <v>14</v>
      </c>
      <c r="C458" s="8161" t="s">
        <v>2880</v>
      </c>
      <c r="D458" s="8161" t="s">
        <v>43</v>
      </c>
      <c r="E458" s="8161" t="s">
        <v>46</v>
      </c>
      <c r="F458" s="8161" t="s">
        <v>2881</v>
      </c>
      <c r="G458" s="8161" t="s">
        <v>24</v>
      </c>
      <c r="H458" s="8161" t="s">
        <v>24</v>
      </c>
      <c r="I458" s="8161" t="s">
        <v>929</v>
      </c>
    </row>
    <row customHeight="1" ht="11.25">
      <c r="A459" s="8161" t="s">
        <v>2279</v>
      </c>
      <c r="B459" s="8161" t="s">
        <v>14</v>
      </c>
      <c r="C459" s="8161" t="s">
        <v>2882</v>
      </c>
      <c r="D459" s="8161" t="s">
        <v>43</v>
      </c>
      <c r="E459" s="8161" t="s">
        <v>46</v>
      </c>
      <c r="F459" s="8161" t="s">
        <v>2883</v>
      </c>
      <c r="G459" s="8161" t="s">
        <v>24</v>
      </c>
      <c r="H459" s="8161" t="s">
        <v>24</v>
      </c>
      <c r="I459" s="8161" t="s">
        <v>929</v>
      </c>
    </row>
    <row customHeight="1" ht="11.25">
      <c r="A460" s="8161" t="s">
        <v>2279</v>
      </c>
      <c r="B460" s="8161" t="s">
        <v>14</v>
      </c>
      <c r="C460" s="8161" t="s">
        <v>2884</v>
      </c>
      <c r="D460" s="8161" t="s">
        <v>43</v>
      </c>
      <c r="E460" s="8161" t="s">
        <v>46</v>
      </c>
      <c r="F460" s="8161" t="s">
        <v>2885</v>
      </c>
      <c r="G460" s="8161" t="s">
        <v>24</v>
      </c>
      <c r="H460" s="8161" t="s">
        <v>24</v>
      </c>
      <c r="I460" s="8161" t="s">
        <v>929</v>
      </c>
    </row>
    <row customHeight="1" ht="11.25">
      <c r="A461" s="8161" t="s">
        <v>2279</v>
      </c>
      <c r="B461" s="8161" t="s">
        <v>14</v>
      </c>
      <c r="C461" s="8161" t="s">
        <v>2941</v>
      </c>
      <c r="D461" s="8161" t="s">
        <v>43</v>
      </c>
      <c r="E461" s="8161" t="s">
        <v>46</v>
      </c>
      <c r="F461" s="8161" t="s">
        <v>2942</v>
      </c>
      <c r="G461" s="8161" t="s">
        <v>24</v>
      </c>
      <c r="H461" s="8161" t="s">
        <v>24</v>
      </c>
      <c r="I461" s="8161" t="s">
        <v>929</v>
      </c>
    </row>
    <row customHeight="1" ht="11.25">
      <c r="A462" s="8161" t="s">
        <v>2279</v>
      </c>
      <c r="B462" s="8161" t="s">
        <v>14</v>
      </c>
      <c r="C462" s="8161" t="s">
        <v>2886</v>
      </c>
      <c r="D462" s="8161" t="s">
        <v>43</v>
      </c>
      <c r="E462" s="8161" t="s">
        <v>46</v>
      </c>
      <c r="F462" s="8161" t="s">
        <v>2887</v>
      </c>
      <c r="G462" s="8161" t="s">
        <v>24</v>
      </c>
      <c r="H462" s="8161" t="s">
        <v>24</v>
      </c>
      <c r="I462" s="8161" t="s">
        <v>929</v>
      </c>
    </row>
    <row customHeight="1" ht="11.25">
      <c r="A463" s="8161" t="s">
        <v>2279</v>
      </c>
      <c r="B463" s="8161" t="s">
        <v>14</v>
      </c>
      <c r="C463" s="8161" t="s">
        <v>2888</v>
      </c>
      <c r="D463" s="8161" t="s">
        <v>43</v>
      </c>
      <c r="E463" s="8161" t="s">
        <v>46</v>
      </c>
      <c r="F463" s="8161" t="s">
        <v>2889</v>
      </c>
      <c r="G463" s="8161" t="s">
        <v>24</v>
      </c>
      <c r="H463" s="8161" t="s">
        <v>24</v>
      </c>
      <c r="I463" s="8161" t="s">
        <v>929</v>
      </c>
    </row>
    <row customHeight="1" ht="11.25">
      <c r="A464" s="8161" t="s">
        <v>2279</v>
      </c>
      <c r="B464" s="8161" t="s">
        <v>14</v>
      </c>
      <c r="C464" s="8161" t="s">
        <v>2890</v>
      </c>
      <c r="D464" s="8161" t="s">
        <v>43</v>
      </c>
      <c r="E464" s="8161" t="s">
        <v>46</v>
      </c>
      <c r="F464" s="8161" t="s">
        <v>2891</v>
      </c>
      <c r="G464" s="8161" t="s">
        <v>24</v>
      </c>
      <c r="H464" s="8161" t="s">
        <v>24</v>
      </c>
      <c r="I464" s="8161" t="s">
        <v>929</v>
      </c>
    </row>
    <row customHeight="1" ht="11.25">
      <c r="A465" s="8161" t="s">
        <v>2279</v>
      </c>
      <c r="B465" s="8161" t="s">
        <v>14</v>
      </c>
      <c r="C465" s="8161" t="s">
        <v>2892</v>
      </c>
      <c r="D465" s="8161" t="s">
        <v>43</v>
      </c>
      <c r="E465" s="8161" t="s">
        <v>46</v>
      </c>
      <c r="F465" s="8161" t="s">
        <v>2893</v>
      </c>
      <c r="G465" s="8161" t="s">
        <v>24</v>
      </c>
      <c r="H465" s="8161" t="s">
        <v>24</v>
      </c>
      <c r="I465" s="8161" t="s">
        <v>929</v>
      </c>
    </row>
    <row customHeight="1" ht="11.25">
      <c r="A466" s="8161" t="s">
        <v>2279</v>
      </c>
      <c r="B466" s="8161" t="s">
        <v>14</v>
      </c>
      <c r="C466" s="8161" t="s">
        <v>2894</v>
      </c>
      <c r="D466" s="8161" t="s">
        <v>43</v>
      </c>
      <c r="E466" s="8161" t="s">
        <v>46</v>
      </c>
      <c r="F466" s="8161" t="s">
        <v>2895</v>
      </c>
      <c r="G466" s="8161" t="s">
        <v>24</v>
      </c>
      <c r="H466" s="8161" t="s">
        <v>24</v>
      </c>
      <c r="I466" s="8161" t="s">
        <v>929</v>
      </c>
    </row>
    <row customHeight="1" ht="11.25">
      <c r="A467" s="8161" t="s">
        <v>2279</v>
      </c>
      <c r="B467" s="8161" t="s">
        <v>14</v>
      </c>
      <c r="C467" s="8161" t="s">
        <v>2453</v>
      </c>
      <c r="D467" s="8161" t="s">
        <v>43</v>
      </c>
      <c r="E467" s="8161" t="s">
        <v>46</v>
      </c>
      <c r="F467" s="8161" t="s">
        <v>48</v>
      </c>
      <c r="G467" s="8161" t="s">
        <v>24</v>
      </c>
      <c r="H467" s="8161" t="s">
        <v>24</v>
      </c>
      <c r="I467" s="8161" t="s">
        <v>929</v>
      </c>
    </row>
    <row customHeight="1" ht="11.25">
      <c r="A468" s="8161" t="s">
        <v>2279</v>
      </c>
      <c r="B468" s="8161" t="s">
        <v>14</v>
      </c>
      <c r="C468" s="8161" t="s">
        <v>2943</v>
      </c>
      <c r="D468" s="8161" t="s">
        <v>2944</v>
      </c>
      <c r="E468" s="8161" t="s">
        <v>2945</v>
      </c>
      <c r="F468" s="8161" t="s">
        <v>2283</v>
      </c>
      <c r="G468" s="8161" t="s">
        <v>24</v>
      </c>
      <c r="H468" s="8161" t="s">
        <v>24</v>
      </c>
      <c r="I468" s="8161" t="s">
        <v>929</v>
      </c>
    </row>
    <row customHeight="1" ht="11.25">
      <c r="A469" s="8161" t="s">
        <v>2279</v>
      </c>
      <c r="B469" s="8161" t="s">
        <v>14</v>
      </c>
      <c r="C469" s="8161" t="s">
        <v>2946</v>
      </c>
      <c r="D469" s="8161" t="s">
        <v>2944</v>
      </c>
      <c r="E469" s="8161" t="s">
        <v>2945</v>
      </c>
      <c r="F469" s="8161" t="s">
        <v>2947</v>
      </c>
      <c r="G469" s="8161" t="s">
        <v>24</v>
      </c>
      <c r="H469" s="8161" t="s">
        <v>24</v>
      </c>
      <c r="I469" s="8161" t="s">
        <v>929</v>
      </c>
    </row>
    <row customHeight="1" ht="11.25">
      <c r="A470" s="8161" t="s">
        <v>2279</v>
      </c>
      <c r="B470" s="8161" t="s">
        <v>14</v>
      </c>
      <c r="C470" s="8161" t="s">
        <v>2458</v>
      </c>
      <c r="D470" s="8161" t="s">
        <v>2455</v>
      </c>
      <c r="E470" s="8161" t="s">
        <v>46</v>
      </c>
      <c r="F470" s="8161" t="s">
        <v>2459</v>
      </c>
      <c r="G470" s="8161" t="s">
        <v>24</v>
      </c>
      <c r="H470" s="8161" t="s">
        <v>2460</v>
      </c>
      <c r="I470" s="8161" t="s">
        <v>929</v>
      </c>
    </row>
    <row customHeight="1" ht="11.25">
      <c r="A471" s="8161" t="s">
        <v>2279</v>
      </c>
      <c r="B471" s="8161" t="s">
        <v>14</v>
      </c>
      <c r="C471" s="8161" t="s">
        <v>2948</v>
      </c>
      <c r="D471" s="8161" t="s">
        <v>2455</v>
      </c>
      <c r="E471" s="8161" t="s">
        <v>46</v>
      </c>
      <c r="F471" s="8161" t="s">
        <v>2949</v>
      </c>
      <c r="G471" s="8161" t="s">
        <v>24</v>
      </c>
      <c r="H471" s="8161" t="s">
        <v>24</v>
      </c>
      <c r="I471" s="8161" t="s">
        <v>929</v>
      </c>
    </row>
    <row customHeight="1" ht="11.25">
      <c r="A472" s="8161" t="s">
        <v>2279</v>
      </c>
      <c r="B472" s="8161" t="s">
        <v>14</v>
      </c>
      <c r="C472" s="8161" t="s">
        <v>2896</v>
      </c>
      <c r="D472" s="8161" t="s">
        <v>2455</v>
      </c>
      <c r="E472" s="8161" t="s">
        <v>46</v>
      </c>
      <c r="F472" s="8161" t="s">
        <v>2897</v>
      </c>
      <c r="G472" s="8161" t="s">
        <v>24</v>
      </c>
      <c r="H472" s="8161" t="s">
        <v>24</v>
      </c>
      <c r="I472" s="8161" t="s">
        <v>929</v>
      </c>
    </row>
    <row customHeight="1" ht="11.25">
      <c r="A473" s="8161" t="s">
        <v>2279</v>
      </c>
      <c r="B473" s="8161" t="s">
        <v>14</v>
      </c>
      <c r="C473" s="8161" t="s">
        <v>3444</v>
      </c>
      <c r="D473" s="8161" t="s">
        <v>3445</v>
      </c>
      <c r="E473" s="8161" t="s">
        <v>3446</v>
      </c>
      <c r="F473" s="8161" t="s">
        <v>2616</v>
      </c>
      <c r="G473" s="8161" t="s">
        <v>3447</v>
      </c>
      <c r="H473" s="8161" t="s">
        <v>24</v>
      </c>
      <c r="I473" s="8161" t="s">
        <v>929</v>
      </c>
    </row>
    <row customHeight="1" ht="11.25">
      <c r="A474" s="8161" t="s">
        <v>2279</v>
      </c>
      <c r="B474" s="8161" t="s">
        <v>14</v>
      </c>
      <c r="C474" s="8161" t="s">
        <v>2953</v>
      </c>
      <c r="D474" s="8161" t="s">
        <v>2954</v>
      </c>
      <c r="E474" s="8161" t="s">
        <v>2955</v>
      </c>
      <c r="F474" s="8161" t="s">
        <v>2560</v>
      </c>
      <c r="G474" s="8161" t="s">
        <v>24</v>
      </c>
      <c r="H474" s="8161" t="s">
        <v>24</v>
      </c>
      <c r="I474" s="8161" t="s">
        <v>929</v>
      </c>
    </row>
    <row customHeight="1" ht="11.25">
      <c r="A475" s="8161" t="s">
        <v>2279</v>
      </c>
      <c r="B475" s="8161" t="s">
        <v>14</v>
      </c>
      <c r="C475" s="8161" t="s">
        <v>2956</v>
      </c>
      <c r="D475" s="8161" t="s">
        <v>2957</v>
      </c>
      <c r="E475" s="8161" t="s">
        <v>2958</v>
      </c>
      <c r="F475" s="8161" t="s">
        <v>2574</v>
      </c>
      <c r="G475" s="8161" t="s">
        <v>24</v>
      </c>
      <c r="H475" s="8161" t="s">
        <v>24</v>
      </c>
      <c r="I475" s="8161" t="s">
        <v>929</v>
      </c>
    </row>
    <row customHeight="1" ht="11.25">
      <c r="A476" s="8161" t="s">
        <v>2279</v>
      </c>
      <c r="B476" s="8161" t="s">
        <v>14</v>
      </c>
      <c r="C476" s="8161" t="s">
        <v>2959</v>
      </c>
      <c r="D476" s="8161" t="s">
        <v>2960</v>
      </c>
      <c r="E476" s="8161" t="s">
        <v>2961</v>
      </c>
      <c r="F476" s="8161" t="s">
        <v>2359</v>
      </c>
      <c r="G476" s="8161" t="s">
        <v>24</v>
      </c>
      <c r="H476" s="8161" t="s">
        <v>24</v>
      </c>
      <c r="I476" s="8161" t="s">
        <v>929</v>
      </c>
    </row>
    <row customHeight="1" ht="11.25">
      <c r="A477" s="8161" t="s">
        <v>2279</v>
      </c>
      <c r="B477" s="8161" t="s">
        <v>14</v>
      </c>
      <c r="C477" s="8161" t="s">
        <v>2962</v>
      </c>
      <c r="D477" s="8161" t="s">
        <v>2963</v>
      </c>
      <c r="E477" s="8161" t="s">
        <v>2964</v>
      </c>
      <c r="F477" s="8161" t="s">
        <v>2473</v>
      </c>
      <c r="G477" s="8161" t="s">
        <v>24</v>
      </c>
      <c r="H477" s="8161" t="s">
        <v>24</v>
      </c>
      <c r="I477" s="8161" t="s">
        <v>929</v>
      </c>
    </row>
    <row customHeight="1" ht="11.25">
      <c r="A478" s="8161" t="s">
        <v>2279</v>
      </c>
      <c r="B478" s="8161" t="s">
        <v>14</v>
      </c>
      <c r="C478" s="8161" t="s">
        <v>2969</v>
      </c>
      <c r="D478" s="8161" t="s">
        <v>2970</v>
      </c>
      <c r="E478" s="8161" t="s">
        <v>2971</v>
      </c>
      <c r="F478" s="8161" t="s">
        <v>2493</v>
      </c>
      <c r="G478" s="8161" t="s">
        <v>24</v>
      </c>
      <c r="H478" s="8161" t="s">
        <v>2972</v>
      </c>
      <c r="I478" s="8161" t="s">
        <v>929</v>
      </c>
    </row>
    <row customHeight="1" ht="11.25">
      <c r="A479" s="8161" t="s">
        <v>2279</v>
      </c>
      <c r="B479" s="8161" t="s">
        <v>14</v>
      </c>
      <c r="C479" s="8161" t="s">
        <v>2973</v>
      </c>
      <c r="D479" s="8161" t="s">
        <v>2974</v>
      </c>
      <c r="E479" s="8161" t="s">
        <v>2975</v>
      </c>
      <c r="F479" s="8161" t="s">
        <v>2359</v>
      </c>
      <c r="G479" s="8161" t="s">
        <v>24</v>
      </c>
      <c r="H479" s="8161" t="s">
        <v>24</v>
      </c>
      <c r="I479" s="8161" t="s">
        <v>929</v>
      </c>
    </row>
    <row customHeight="1" ht="11.25">
      <c r="A480" s="8161" t="s">
        <v>2279</v>
      </c>
      <c r="B480" s="8161" t="s">
        <v>14</v>
      </c>
      <c r="C480" s="8161" t="s">
        <v>2976</v>
      </c>
      <c r="D480" s="8161" t="s">
        <v>2977</v>
      </c>
      <c r="E480" s="8161" t="s">
        <v>2978</v>
      </c>
      <c r="F480" s="8161" t="s">
        <v>2493</v>
      </c>
      <c r="G480" s="8161" t="s">
        <v>24</v>
      </c>
      <c r="H480" s="8161" t="s">
        <v>2979</v>
      </c>
      <c r="I480" s="8161" t="s">
        <v>929</v>
      </c>
    </row>
    <row customHeight="1" ht="11.25">
      <c r="A481" s="8161" t="s">
        <v>2279</v>
      </c>
      <c r="B481" s="8161" t="s">
        <v>14</v>
      </c>
      <c r="C481" s="8161" t="s">
        <v>2470</v>
      </c>
      <c r="D481" s="8161" t="s">
        <v>2471</v>
      </c>
      <c r="E481" s="8161" t="s">
        <v>2472</v>
      </c>
      <c r="F481" s="8161" t="s">
        <v>2473</v>
      </c>
      <c r="G481" s="8161" t="s">
        <v>24</v>
      </c>
      <c r="H481" s="8161" t="s">
        <v>24</v>
      </c>
      <c r="I481" s="8161" t="s">
        <v>929</v>
      </c>
    </row>
    <row customHeight="1" ht="11.25">
      <c r="A482" s="8161" t="s">
        <v>2279</v>
      </c>
      <c r="B482" s="8161" t="s">
        <v>14</v>
      </c>
      <c r="C482" s="8161" t="s">
        <v>2980</v>
      </c>
      <c r="D482" s="8161" t="s">
        <v>2981</v>
      </c>
      <c r="E482" s="8161" t="s">
        <v>2982</v>
      </c>
      <c r="F482" s="8161" t="s">
        <v>2493</v>
      </c>
      <c r="G482" s="8161" t="s">
        <v>2983</v>
      </c>
      <c r="H482" s="8161" t="s">
        <v>24</v>
      </c>
      <c r="I482" s="8161" t="s">
        <v>929</v>
      </c>
    </row>
    <row customHeight="1" ht="11.25">
      <c r="A483" s="8161" t="s">
        <v>2279</v>
      </c>
      <c r="B483" s="8161" t="s">
        <v>14</v>
      </c>
      <c r="C483" s="8161" t="s">
        <v>2984</v>
      </c>
      <c r="D483" s="8161" t="s">
        <v>2985</v>
      </c>
      <c r="E483" s="8161" t="s">
        <v>2986</v>
      </c>
      <c r="F483" s="8161" t="s">
        <v>2987</v>
      </c>
      <c r="G483" s="8161" t="s">
        <v>24</v>
      </c>
      <c r="H483" s="8161" t="s">
        <v>24</v>
      </c>
      <c r="I483" s="8161" t="s">
        <v>929</v>
      </c>
    </row>
    <row customHeight="1" ht="11.25">
      <c r="A484" s="8161" t="s">
        <v>2279</v>
      </c>
      <c r="B484" s="8161" t="s">
        <v>14</v>
      </c>
      <c r="C484" s="8161" t="s">
        <v>2988</v>
      </c>
      <c r="D484" s="8161" t="s">
        <v>2989</v>
      </c>
      <c r="E484" s="8161" t="s">
        <v>2990</v>
      </c>
      <c r="F484" s="8161" t="s">
        <v>2493</v>
      </c>
      <c r="G484" s="8161" t="s">
        <v>24</v>
      </c>
      <c r="H484" s="8161" t="s">
        <v>24</v>
      </c>
      <c r="I484" s="8161" t="s">
        <v>929</v>
      </c>
    </row>
    <row customHeight="1" ht="11.25">
      <c r="A485" s="8161" t="s">
        <v>2279</v>
      </c>
      <c r="B485" s="8161" t="s">
        <v>14</v>
      </c>
      <c r="C485" s="8161" t="s">
        <v>2991</v>
      </c>
      <c r="D485" s="8161" t="s">
        <v>2992</v>
      </c>
      <c r="E485" s="8161" t="s">
        <v>2993</v>
      </c>
      <c r="F485" s="8161" t="s">
        <v>2339</v>
      </c>
      <c r="G485" s="8161" t="s">
        <v>2994</v>
      </c>
      <c r="H485" s="8161" t="s">
        <v>24</v>
      </c>
      <c r="I485" s="8161" t="s">
        <v>929</v>
      </c>
    </row>
    <row customHeight="1" ht="11.25">
      <c r="A486" s="8161" t="s">
        <v>2279</v>
      </c>
      <c r="B486" s="8161" t="s">
        <v>14</v>
      </c>
      <c r="C486" s="8161" t="s">
        <v>2995</v>
      </c>
      <c r="D486" s="8161" t="s">
        <v>2996</v>
      </c>
      <c r="E486" s="8161" t="s">
        <v>2997</v>
      </c>
      <c r="F486" s="8161" t="s">
        <v>2339</v>
      </c>
      <c r="G486" s="8161" t="s">
        <v>2998</v>
      </c>
      <c r="H486" s="8161" t="s">
        <v>24</v>
      </c>
      <c r="I486" s="8161" t="s">
        <v>929</v>
      </c>
    </row>
    <row customHeight="1" ht="11.25">
      <c r="A487" s="8161" t="s">
        <v>2279</v>
      </c>
      <c r="B487" s="8161" t="s">
        <v>14</v>
      </c>
      <c r="C487" s="8161" t="s">
        <v>2999</v>
      </c>
      <c r="D487" s="8161" t="s">
        <v>3000</v>
      </c>
      <c r="E487" s="8161" t="s">
        <v>3001</v>
      </c>
      <c r="F487" s="8161" t="s">
        <v>2493</v>
      </c>
      <c r="G487" s="8161" t="s">
        <v>24</v>
      </c>
      <c r="H487" s="8161" t="s">
        <v>2457</v>
      </c>
      <c r="I487" s="8161" t="s">
        <v>929</v>
      </c>
    </row>
    <row customHeight="1" ht="11.25">
      <c r="A488" s="8161" t="s">
        <v>2279</v>
      </c>
      <c r="B488" s="8161" t="s">
        <v>14</v>
      </c>
      <c r="C488" s="8161" t="s">
        <v>2477</v>
      </c>
      <c r="D488" s="8161" t="s">
        <v>2478</v>
      </c>
      <c r="E488" s="8161" t="s">
        <v>2479</v>
      </c>
      <c r="F488" s="8161" t="s">
        <v>2480</v>
      </c>
      <c r="G488" s="8161" t="s">
        <v>24</v>
      </c>
      <c r="H488" s="8161" t="s">
        <v>24</v>
      </c>
      <c r="I488" s="8161" t="s">
        <v>929</v>
      </c>
    </row>
    <row customHeight="1" ht="11.25">
      <c r="A489" s="8161" t="s">
        <v>2279</v>
      </c>
      <c r="B489" s="8161" t="s">
        <v>14</v>
      </c>
      <c r="C489" s="8161" t="s">
        <v>3448</v>
      </c>
      <c r="D489" s="8161" t="s">
        <v>3449</v>
      </c>
      <c r="E489" s="8161" t="s">
        <v>3450</v>
      </c>
      <c r="F489" s="8161" t="s">
        <v>2493</v>
      </c>
      <c r="G489" s="8161" t="s">
        <v>24</v>
      </c>
      <c r="H489" s="8161" t="s">
        <v>24</v>
      </c>
      <c r="I489" s="8161" t="s">
        <v>929</v>
      </c>
    </row>
    <row customHeight="1" ht="11.25">
      <c r="A490" s="8161" t="s">
        <v>2279</v>
      </c>
      <c r="B490" s="8161" t="s">
        <v>14</v>
      </c>
      <c r="C490" s="8161" t="s">
        <v>3006</v>
      </c>
      <c r="D490" s="8161" t="s">
        <v>3007</v>
      </c>
      <c r="E490" s="8161" t="s">
        <v>3008</v>
      </c>
      <c r="F490" s="8161" t="s">
        <v>2873</v>
      </c>
      <c r="G490" s="8161" t="s">
        <v>24</v>
      </c>
      <c r="H490" s="8161" t="s">
        <v>2457</v>
      </c>
      <c r="I490" s="8161" t="s">
        <v>929</v>
      </c>
    </row>
    <row customHeight="1" ht="11.25">
      <c r="A491" s="8161" t="s">
        <v>2279</v>
      </c>
      <c r="B491" s="8161" t="s">
        <v>14</v>
      </c>
      <c r="C491" s="8161" t="s">
        <v>2481</v>
      </c>
      <c r="D491" s="8161" t="s">
        <v>2482</v>
      </c>
      <c r="E491" s="8161" t="s">
        <v>2483</v>
      </c>
      <c r="F491" s="8161" t="s">
        <v>2484</v>
      </c>
      <c r="G491" s="8161" t="s">
        <v>24</v>
      </c>
      <c r="H491" s="8161" t="s">
        <v>2485</v>
      </c>
      <c r="I491" s="8161" t="s">
        <v>929</v>
      </c>
    </row>
    <row customHeight="1" ht="11.25">
      <c r="A492" s="8161" t="s">
        <v>2279</v>
      </c>
      <c r="B492" s="8161" t="s">
        <v>14</v>
      </c>
      <c r="C492" s="8161" t="s">
        <v>2486</v>
      </c>
      <c r="D492" s="8161" t="s">
        <v>2482</v>
      </c>
      <c r="E492" s="8161" t="s">
        <v>2483</v>
      </c>
      <c r="F492" s="8161" t="s">
        <v>2484</v>
      </c>
      <c r="G492" s="8161" t="s">
        <v>24</v>
      </c>
      <c r="H492" s="8161" t="s">
        <v>24</v>
      </c>
      <c r="I492" s="8161" t="s">
        <v>929</v>
      </c>
    </row>
    <row customHeight="1" ht="11.25">
      <c r="A493" s="8161" t="s">
        <v>2279</v>
      </c>
      <c r="B493" s="8161" t="s">
        <v>14</v>
      </c>
      <c r="C493" s="8161" t="s">
        <v>2487</v>
      </c>
      <c r="D493" s="8161" t="s">
        <v>2488</v>
      </c>
      <c r="E493" s="8161" t="s">
        <v>2489</v>
      </c>
      <c r="F493" s="8161" t="s">
        <v>2484</v>
      </c>
      <c r="G493" s="8161" t="s">
        <v>24</v>
      </c>
      <c r="H493" s="8161" t="s">
        <v>24</v>
      </c>
      <c r="I493" s="8161" t="s">
        <v>929</v>
      </c>
    </row>
    <row customHeight="1" ht="11.25">
      <c r="A494" s="8161" t="s">
        <v>2279</v>
      </c>
      <c r="B494" s="8161" t="s">
        <v>14</v>
      </c>
      <c r="C494" s="8161" t="s">
        <v>2490</v>
      </c>
      <c r="D494" s="8161" t="s">
        <v>2491</v>
      </c>
      <c r="E494" s="8161" t="s">
        <v>2492</v>
      </c>
      <c r="F494" s="8161" t="s">
        <v>2493</v>
      </c>
      <c r="G494" s="8161" t="s">
        <v>24</v>
      </c>
      <c r="H494" s="8161" t="s">
        <v>24</v>
      </c>
      <c r="I494" s="8161" t="s">
        <v>929</v>
      </c>
    </row>
    <row customHeight="1" ht="11.25">
      <c r="A495" s="8161" t="s">
        <v>2279</v>
      </c>
      <c r="B495" s="8161" t="s">
        <v>14</v>
      </c>
      <c r="C495" s="8161" t="s">
        <v>3009</v>
      </c>
      <c r="D495" s="8161" t="s">
        <v>3010</v>
      </c>
      <c r="E495" s="8161" t="s">
        <v>3011</v>
      </c>
      <c r="F495" s="8161" t="s">
        <v>2404</v>
      </c>
      <c r="G495" s="8161" t="s">
        <v>24</v>
      </c>
      <c r="H495" s="8161" t="s">
        <v>24</v>
      </c>
      <c r="I495" s="8161" t="s">
        <v>929</v>
      </c>
    </row>
    <row customHeight="1" ht="11.25">
      <c r="A496" s="8161" t="s">
        <v>2279</v>
      </c>
      <c r="B496" s="8161" t="s">
        <v>14</v>
      </c>
      <c r="C496" s="8161" t="s">
        <v>3012</v>
      </c>
      <c r="D496" s="8161" t="s">
        <v>3013</v>
      </c>
      <c r="E496" s="8161" t="s">
        <v>3014</v>
      </c>
      <c r="F496" s="8161" t="s">
        <v>2873</v>
      </c>
      <c r="G496" s="8161" t="s">
        <v>24</v>
      </c>
      <c r="H496" s="8161" t="s">
        <v>3015</v>
      </c>
      <c r="I496" s="8161" t="s">
        <v>929</v>
      </c>
    </row>
    <row customHeight="1" ht="11.25">
      <c r="A497" s="8161" t="s">
        <v>2279</v>
      </c>
      <c r="B497" s="8161" t="s">
        <v>14</v>
      </c>
      <c r="C497" s="8161" t="s">
        <v>3020</v>
      </c>
      <c r="D497" s="8161" t="s">
        <v>3021</v>
      </c>
      <c r="E497" s="8161" t="s">
        <v>3022</v>
      </c>
      <c r="F497" s="8161" t="s">
        <v>2987</v>
      </c>
      <c r="G497" s="8161" t="s">
        <v>24</v>
      </c>
      <c r="H497" s="8161" t="s">
        <v>2457</v>
      </c>
      <c r="I497" s="8161" t="s">
        <v>929</v>
      </c>
    </row>
    <row customHeight="1" ht="11.25">
      <c r="A498" s="8161" t="s">
        <v>2279</v>
      </c>
      <c r="B498" s="8161" t="s">
        <v>14</v>
      </c>
      <c r="C498" s="8161" t="s">
        <v>3023</v>
      </c>
      <c r="D498" s="8161" t="s">
        <v>3024</v>
      </c>
      <c r="E498" s="8161" t="s">
        <v>3025</v>
      </c>
      <c r="F498" s="8161" t="s">
        <v>2873</v>
      </c>
      <c r="G498" s="8161" t="s">
        <v>24</v>
      </c>
      <c r="H498" s="8161" t="s">
        <v>3026</v>
      </c>
      <c r="I498" s="8161" t="s">
        <v>929</v>
      </c>
    </row>
    <row customHeight="1" ht="11.25">
      <c r="A499" s="8161" t="s">
        <v>2279</v>
      </c>
      <c r="B499" s="8161" t="s">
        <v>14</v>
      </c>
      <c r="C499" s="8161" t="s">
        <v>2494</v>
      </c>
      <c r="D499" s="8161" t="s">
        <v>2495</v>
      </c>
      <c r="E499" s="8161" t="s">
        <v>2496</v>
      </c>
      <c r="F499" s="8161" t="s">
        <v>2339</v>
      </c>
      <c r="G499" s="8161" t="s">
        <v>24</v>
      </c>
      <c r="H499" s="8161" t="s">
        <v>24</v>
      </c>
      <c r="I499" s="8161" t="s">
        <v>929</v>
      </c>
    </row>
    <row customHeight="1" ht="11.25">
      <c r="A500" s="8161" t="s">
        <v>2279</v>
      </c>
      <c r="B500" s="8161" t="s">
        <v>14</v>
      </c>
      <c r="C500" s="8161" t="s">
        <v>3027</v>
      </c>
      <c r="D500" s="8161" t="s">
        <v>3028</v>
      </c>
      <c r="E500" s="8161" t="s">
        <v>3029</v>
      </c>
      <c r="F500" s="8161" t="s">
        <v>2367</v>
      </c>
      <c r="G500" s="8161" t="s">
        <v>24</v>
      </c>
      <c r="H500" s="8161" t="s">
        <v>3030</v>
      </c>
      <c r="I500" s="8161" t="s">
        <v>929</v>
      </c>
    </row>
    <row customHeight="1" ht="11.25">
      <c r="A501" s="8161" t="s">
        <v>2279</v>
      </c>
      <c r="B501" s="8161" t="s">
        <v>14</v>
      </c>
      <c r="C501" s="8161" t="s">
        <v>3031</v>
      </c>
      <c r="D501" s="8161" t="s">
        <v>3032</v>
      </c>
      <c r="E501" s="8161" t="s">
        <v>3033</v>
      </c>
      <c r="F501" s="8161" t="s">
        <v>2968</v>
      </c>
      <c r="G501" s="8161" t="s">
        <v>24</v>
      </c>
      <c r="H501" s="8161" t="s">
        <v>24</v>
      </c>
      <c r="I501" s="8161" t="s">
        <v>929</v>
      </c>
    </row>
    <row customHeight="1" ht="11.25">
      <c r="A502" s="8161" t="s">
        <v>2279</v>
      </c>
      <c r="B502" s="8161" t="s">
        <v>14</v>
      </c>
      <c r="C502" s="8161" t="s">
        <v>2497</v>
      </c>
      <c r="D502" s="8161" t="s">
        <v>2498</v>
      </c>
      <c r="E502" s="8161" t="s">
        <v>2499</v>
      </c>
      <c r="F502" s="8161" t="s">
        <v>2480</v>
      </c>
      <c r="G502" s="8161" t="s">
        <v>24</v>
      </c>
      <c r="H502" s="8161" t="s">
        <v>24</v>
      </c>
      <c r="I502" s="8161" t="s">
        <v>929</v>
      </c>
    </row>
    <row customHeight="1" ht="11.25">
      <c r="A503" s="8161" t="s">
        <v>2279</v>
      </c>
      <c r="B503" s="8161" t="s">
        <v>14</v>
      </c>
      <c r="C503" s="8161" t="s">
        <v>3034</v>
      </c>
      <c r="D503" s="8161" t="s">
        <v>3035</v>
      </c>
      <c r="E503" s="8161" t="s">
        <v>3036</v>
      </c>
      <c r="F503" s="8161" t="s">
        <v>3037</v>
      </c>
      <c r="G503" s="8161" t="s">
        <v>24</v>
      </c>
      <c r="H503" s="8161" t="s">
        <v>2457</v>
      </c>
      <c r="I503" s="8161" t="s">
        <v>929</v>
      </c>
    </row>
    <row customHeight="1" ht="11.25">
      <c r="A504" s="8161" t="s">
        <v>2279</v>
      </c>
      <c r="B504" s="8161" t="s">
        <v>14</v>
      </c>
      <c r="C504" s="8161" t="s">
        <v>3038</v>
      </c>
      <c r="D504" s="8161" t="s">
        <v>3039</v>
      </c>
      <c r="E504" s="8161" t="s">
        <v>3040</v>
      </c>
      <c r="F504" s="8161" t="s">
        <v>2418</v>
      </c>
      <c r="G504" s="8161" t="s">
        <v>24</v>
      </c>
      <c r="H504" s="8161" t="s">
        <v>2457</v>
      </c>
      <c r="I504" s="8161" t="s">
        <v>929</v>
      </c>
    </row>
    <row customHeight="1" ht="11.25">
      <c r="A505" s="8161" t="s">
        <v>2279</v>
      </c>
      <c r="B505" s="8161" t="s">
        <v>14</v>
      </c>
      <c r="C505" s="8161" t="s">
        <v>3041</v>
      </c>
      <c r="D505" s="8161" t="s">
        <v>3042</v>
      </c>
      <c r="E505" s="8161" t="s">
        <v>3043</v>
      </c>
      <c r="F505" s="8161" t="s">
        <v>3044</v>
      </c>
      <c r="G505" s="8161" t="s">
        <v>24</v>
      </c>
      <c r="H505" s="8161" t="s">
        <v>2449</v>
      </c>
      <c r="I505" s="8161" t="s">
        <v>929</v>
      </c>
    </row>
    <row customHeight="1" ht="11.25">
      <c r="A506" s="8161" t="s">
        <v>2279</v>
      </c>
      <c r="B506" s="8161" t="s">
        <v>14</v>
      </c>
      <c r="C506" s="8161" t="s">
        <v>3048</v>
      </c>
      <c r="D506" s="8161" t="s">
        <v>3049</v>
      </c>
      <c r="E506" s="8161" t="s">
        <v>3050</v>
      </c>
      <c r="F506" s="8161" t="s">
        <v>2968</v>
      </c>
      <c r="G506" s="8161" t="s">
        <v>24</v>
      </c>
      <c r="H506" s="8161" t="s">
        <v>2457</v>
      </c>
      <c r="I506" s="8161" t="s">
        <v>929</v>
      </c>
    </row>
    <row customHeight="1" ht="11.25">
      <c r="A507" s="8161" t="s">
        <v>2279</v>
      </c>
      <c r="B507" s="8161" t="s">
        <v>14</v>
      </c>
      <c r="C507" s="8161" t="s">
        <v>3051</v>
      </c>
      <c r="D507" s="8161" t="s">
        <v>3052</v>
      </c>
      <c r="E507" s="8161" t="s">
        <v>3053</v>
      </c>
      <c r="F507" s="8161" t="s">
        <v>2367</v>
      </c>
      <c r="G507" s="8161" t="s">
        <v>24</v>
      </c>
      <c r="H507" s="8161" t="s">
        <v>24</v>
      </c>
      <c r="I507" s="8161" t="s">
        <v>929</v>
      </c>
    </row>
    <row customHeight="1" ht="11.25">
      <c r="A508" s="8161" t="s">
        <v>2279</v>
      </c>
      <c r="B508" s="8161" t="s">
        <v>14</v>
      </c>
      <c r="C508" s="8161" t="s">
        <v>3054</v>
      </c>
      <c r="D508" s="8161" t="s">
        <v>3055</v>
      </c>
      <c r="E508" s="8161" t="s">
        <v>3056</v>
      </c>
      <c r="F508" s="8161" t="s">
        <v>2873</v>
      </c>
      <c r="G508" s="8161" t="s">
        <v>24</v>
      </c>
      <c r="H508" s="8161" t="s">
        <v>24</v>
      </c>
      <c r="I508" s="8161" t="s">
        <v>929</v>
      </c>
    </row>
    <row customHeight="1" ht="11.25">
      <c r="A509" s="8161" t="s">
        <v>2279</v>
      </c>
      <c r="B509" s="8161" t="s">
        <v>14</v>
      </c>
      <c r="C509" s="8161" t="s">
        <v>3057</v>
      </c>
      <c r="D509" s="8161" t="s">
        <v>3058</v>
      </c>
      <c r="E509" s="8161" t="s">
        <v>3059</v>
      </c>
      <c r="F509" s="8161" t="s">
        <v>2296</v>
      </c>
      <c r="G509" s="8161" t="s">
        <v>24</v>
      </c>
      <c r="H509" s="8161" t="s">
        <v>24</v>
      </c>
      <c r="I509" s="8161" t="s">
        <v>929</v>
      </c>
    </row>
    <row customHeight="1" ht="11.25">
      <c r="A510" s="8161" t="s">
        <v>2279</v>
      </c>
      <c r="B510" s="8161" t="s">
        <v>14</v>
      </c>
      <c r="C510" s="8161" t="s">
        <v>2500</v>
      </c>
      <c r="D510" s="8161" t="s">
        <v>2501</v>
      </c>
      <c r="E510" s="8161" t="s">
        <v>2502</v>
      </c>
      <c r="F510" s="8161" t="s">
        <v>2418</v>
      </c>
      <c r="G510" s="8161" t="s">
        <v>24</v>
      </c>
      <c r="H510" s="8161" t="s">
        <v>24</v>
      </c>
      <c r="I510" s="8161" t="s">
        <v>929</v>
      </c>
    </row>
    <row customHeight="1" ht="11.25">
      <c r="A511" s="8161" t="s">
        <v>2279</v>
      </c>
      <c r="B511" s="8161" t="s">
        <v>14</v>
      </c>
      <c r="C511" s="8161" t="s">
        <v>3060</v>
      </c>
      <c r="D511" s="8161" t="s">
        <v>3061</v>
      </c>
      <c r="E511" s="8161" t="s">
        <v>3062</v>
      </c>
      <c r="F511" s="8161" t="s">
        <v>2873</v>
      </c>
      <c r="G511" s="8161" t="s">
        <v>24</v>
      </c>
      <c r="H511" s="8161" t="s">
        <v>24</v>
      </c>
      <c r="I511" s="8161" t="s">
        <v>929</v>
      </c>
    </row>
    <row customHeight="1" ht="11.25">
      <c r="A512" s="8161" t="s">
        <v>2279</v>
      </c>
      <c r="B512" s="8161" t="s">
        <v>14</v>
      </c>
      <c r="C512" s="8161" t="s">
        <v>3063</v>
      </c>
      <c r="D512" s="8161" t="s">
        <v>3064</v>
      </c>
      <c r="E512" s="8161" t="s">
        <v>3065</v>
      </c>
      <c r="F512" s="8161" t="s">
        <v>2473</v>
      </c>
      <c r="G512" s="8161" t="s">
        <v>24</v>
      </c>
      <c r="H512" s="8161" t="s">
        <v>3066</v>
      </c>
      <c r="I512" s="8161" t="s">
        <v>929</v>
      </c>
    </row>
    <row customHeight="1" ht="11.25">
      <c r="A513" s="8161" t="s">
        <v>2279</v>
      </c>
      <c r="B513" s="8161" t="s">
        <v>14</v>
      </c>
      <c r="C513" s="8161" t="s">
        <v>3067</v>
      </c>
      <c r="D513" s="8161" t="s">
        <v>3068</v>
      </c>
      <c r="E513" s="8161" t="s">
        <v>3069</v>
      </c>
      <c r="F513" s="8161" t="s">
        <v>2473</v>
      </c>
      <c r="G513" s="8161" t="s">
        <v>24</v>
      </c>
      <c r="H513" s="8161" t="s">
        <v>2457</v>
      </c>
      <c r="I513" s="8161" t="s">
        <v>929</v>
      </c>
    </row>
    <row customHeight="1" ht="11.25">
      <c r="A514" s="8161" t="s">
        <v>2279</v>
      </c>
      <c r="B514" s="8161" t="s">
        <v>14</v>
      </c>
      <c r="C514" s="8161" t="s">
        <v>3070</v>
      </c>
      <c r="D514" s="8161" t="s">
        <v>3071</v>
      </c>
      <c r="E514" s="8161" t="s">
        <v>3072</v>
      </c>
      <c r="F514" s="8161" t="s">
        <v>2367</v>
      </c>
      <c r="G514" s="8161" t="s">
        <v>3073</v>
      </c>
      <c r="H514" s="8161" t="s">
        <v>24</v>
      </c>
      <c r="I514" s="8161" t="s">
        <v>929</v>
      </c>
    </row>
    <row customHeight="1" ht="11.25">
      <c r="A515" s="8161" t="s">
        <v>2279</v>
      </c>
      <c r="B515" s="8161" t="s">
        <v>14</v>
      </c>
      <c r="C515" s="8161" t="s">
        <v>2503</v>
      </c>
      <c r="D515" s="8161" t="s">
        <v>2504</v>
      </c>
      <c r="E515" s="8161" t="s">
        <v>2505</v>
      </c>
      <c r="F515" s="8161" t="s">
        <v>48</v>
      </c>
      <c r="G515" s="8161" t="s">
        <v>24</v>
      </c>
      <c r="H515" s="8161" t="s">
        <v>24</v>
      </c>
      <c r="I515" s="8161" t="s">
        <v>929</v>
      </c>
    </row>
    <row customHeight="1" ht="11.25">
      <c r="A516" s="8161" t="s">
        <v>2279</v>
      </c>
      <c r="B516" s="8161" t="s">
        <v>14</v>
      </c>
      <c r="C516" s="8161" t="s">
        <v>3074</v>
      </c>
      <c r="D516" s="8161" t="s">
        <v>3075</v>
      </c>
      <c r="E516" s="8161" t="s">
        <v>3076</v>
      </c>
      <c r="F516" s="8161" t="s">
        <v>2418</v>
      </c>
      <c r="G516" s="8161" t="s">
        <v>24</v>
      </c>
      <c r="H516" s="8161" t="s">
        <v>2457</v>
      </c>
      <c r="I516" s="8161" t="s">
        <v>929</v>
      </c>
    </row>
    <row customHeight="1" ht="11.25">
      <c r="A517" s="8161" t="s">
        <v>2279</v>
      </c>
      <c r="B517" s="8161" t="s">
        <v>14</v>
      </c>
      <c r="C517" s="8161" t="s">
        <v>2513</v>
      </c>
      <c r="D517" s="8161" t="s">
        <v>2514</v>
      </c>
      <c r="E517" s="8161" t="s">
        <v>2515</v>
      </c>
      <c r="F517" s="8161" t="s">
        <v>2516</v>
      </c>
      <c r="G517" s="8161" t="s">
        <v>24</v>
      </c>
      <c r="H517" s="8161" t="s">
        <v>24</v>
      </c>
      <c r="I517" s="8161" t="s">
        <v>929</v>
      </c>
    </row>
    <row customHeight="1" ht="11.25">
      <c r="A518" s="8161" t="s">
        <v>2279</v>
      </c>
      <c r="B518" s="8161" t="s">
        <v>14</v>
      </c>
      <c r="C518" s="8161" t="s">
        <v>3077</v>
      </c>
      <c r="D518" s="8161" t="s">
        <v>3078</v>
      </c>
      <c r="E518" s="8161" t="s">
        <v>3079</v>
      </c>
      <c r="F518" s="8161" t="s">
        <v>48</v>
      </c>
      <c r="G518" s="8161" t="s">
        <v>24</v>
      </c>
      <c r="H518" s="8161" t="s">
        <v>3080</v>
      </c>
      <c r="I518" s="8161" t="s">
        <v>929</v>
      </c>
    </row>
    <row customHeight="1" ht="11.25">
      <c r="A519" s="8161" t="s">
        <v>2279</v>
      </c>
      <c r="B519" s="8161" t="s">
        <v>14</v>
      </c>
      <c r="C519" s="8161" t="s">
        <v>2520</v>
      </c>
      <c r="D519" s="8161" t="s">
        <v>2521</v>
      </c>
      <c r="E519" s="8161" t="s">
        <v>2522</v>
      </c>
      <c r="F519" s="8161" t="s">
        <v>2315</v>
      </c>
      <c r="G519" s="8161" t="s">
        <v>24</v>
      </c>
      <c r="H519" s="8161" t="s">
        <v>2311</v>
      </c>
      <c r="I519" s="8161" t="s">
        <v>929</v>
      </c>
    </row>
    <row customHeight="1" ht="11.25">
      <c r="A520" s="8161" t="s">
        <v>2279</v>
      </c>
      <c r="B520" s="8161" t="s">
        <v>14</v>
      </c>
      <c r="C520" s="8161" t="s">
        <v>3451</v>
      </c>
      <c r="D520" s="8161" t="s">
        <v>3452</v>
      </c>
      <c r="E520" s="8161" t="s">
        <v>3453</v>
      </c>
      <c r="F520" s="8161" t="s">
        <v>2359</v>
      </c>
      <c r="G520" s="8161" t="s">
        <v>24</v>
      </c>
      <c r="H520" s="8161" t="s">
        <v>24</v>
      </c>
      <c r="I520" s="8161" t="s">
        <v>929</v>
      </c>
    </row>
    <row customHeight="1" ht="11.25">
      <c r="A521" s="8161" t="s">
        <v>2279</v>
      </c>
      <c r="B521" s="8161" t="s">
        <v>14</v>
      </c>
      <c r="C521" s="8161" t="s">
        <v>2538</v>
      </c>
      <c r="D521" s="8161" t="s">
        <v>2539</v>
      </c>
      <c r="E521" s="8161" t="s">
        <v>2540</v>
      </c>
      <c r="F521" s="8161" t="s">
        <v>2484</v>
      </c>
      <c r="G521" s="8161" t="s">
        <v>24</v>
      </c>
      <c r="H521" s="8161" t="s">
        <v>24</v>
      </c>
      <c r="I521" s="8161" t="s">
        <v>929</v>
      </c>
    </row>
    <row customHeight="1" ht="11.25">
      <c r="A522" s="8161" t="s">
        <v>2279</v>
      </c>
      <c r="B522" s="8161" t="s">
        <v>14</v>
      </c>
      <c r="C522" s="8161" t="s">
        <v>3087</v>
      </c>
      <c r="D522" s="8161" t="s">
        <v>3088</v>
      </c>
      <c r="E522" s="8161" t="s">
        <v>3089</v>
      </c>
      <c r="F522" s="8161" t="s">
        <v>2697</v>
      </c>
      <c r="G522" s="8161" t="s">
        <v>3090</v>
      </c>
      <c r="H522" s="8161" t="s">
        <v>24</v>
      </c>
      <c r="I522" s="8161" t="s">
        <v>929</v>
      </c>
    </row>
    <row customHeight="1" ht="11.25">
      <c r="A523" s="8161" t="s">
        <v>2279</v>
      </c>
      <c r="B523" s="8161" t="s">
        <v>14</v>
      </c>
      <c r="C523" s="8161" t="s">
        <v>3091</v>
      </c>
      <c r="D523" s="8161" t="s">
        <v>3092</v>
      </c>
      <c r="E523" s="8161" t="s">
        <v>3093</v>
      </c>
      <c r="F523" s="8161" t="s">
        <v>3094</v>
      </c>
      <c r="G523" s="8161" t="s">
        <v>24</v>
      </c>
      <c r="H523" s="8161" t="s">
        <v>3095</v>
      </c>
      <c r="I523" s="8161" t="s">
        <v>929</v>
      </c>
    </row>
    <row customHeight="1" ht="11.25">
      <c r="A524" s="8161" t="s">
        <v>2279</v>
      </c>
      <c r="B524" s="8161" t="s">
        <v>14</v>
      </c>
      <c r="C524" s="8161" t="s">
        <v>3454</v>
      </c>
      <c r="D524" s="8161" t="s">
        <v>3455</v>
      </c>
      <c r="E524" s="8161" t="s">
        <v>3456</v>
      </c>
      <c r="F524" s="8161" t="s">
        <v>2283</v>
      </c>
      <c r="G524" s="8161" t="s">
        <v>24</v>
      </c>
      <c r="H524" s="8161" t="s">
        <v>3134</v>
      </c>
      <c r="I524" s="8161" t="s">
        <v>929</v>
      </c>
    </row>
    <row customHeight="1" ht="11.25">
      <c r="A525" s="8161" t="s">
        <v>2279</v>
      </c>
      <c r="B525" s="8161" t="s">
        <v>14</v>
      </c>
      <c r="C525" s="8161" t="s">
        <v>3096</v>
      </c>
      <c r="D525" s="8161" t="s">
        <v>3097</v>
      </c>
      <c r="E525" s="8161" t="s">
        <v>3098</v>
      </c>
      <c r="F525" s="8161" t="s">
        <v>2438</v>
      </c>
      <c r="G525" s="8161" t="s">
        <v>24</v>
      </c>
      <c r="H525" s="8161" t="s">
        <v>3099</v>
      </c>
      <c r="I525" s="8161" t="s">
        <v>929</v>
      </c>
    </row>
    <row customHeight="1" ht="11.25">
      <c r="A526" s="8161" t="s">
        <v>2279</v>
      </c>
      <c r="B526" s="8161" t="s">
        <v>14</v>
      </c>
      <c r="C526" s="8161" t="s">
        <v>3100</v>
      </c>
      <c r="D526" s="8161" t="s">
        <v>3101</v>
      </c>
      <c r="E526" s="8161" t="s">
        <v>3102</v>
      </c>
      <c r="F526" s="8161" t="s">
        <v>3094</v>
      </c>
      <c r="G526" s="8161" t="s">
        <v>24</v>
      </c>
      <c r="H526" s="8161" t="s">
        <v>24</v>
      </c>
      <c r="I526" s="8161" t="s">
        <v>929</v>
      </c>
    </row>
    <row customHeight="1" ht="11.25">
      <c r="A527" s="8161" t="s">
        <v>2279</v>
      </c>
      <c r="B527" s="8161" t="s">
        <v>14</v>
      </c>
      <c r="C527" s="8161" t="s">
        <v>3103</v>
      </c>
      <c r="D527" s="8161" t="s">
        <v>3104</v>
      </c>
      <c r="E527" s="8161" t="s">
        <v>3105</v>
      </c>
      <c r="F527" s="8161" t="s">
        <v>3106</v>
      </c>
      <c r="G527" s="8161" t="s">
        <v>24</v>
      </c>
      <c r="H527" s="8161" t="s">
        <v>3107</v>
      </c>
      <c r="I527" s="8161" t="s">
        <v>929</v>
      </c>
    </row>
    <row customHeight="1" ht="11.25">
      <c r="A528" s="8161" t="s">
        <v>2279</v>
      </c>
      <c r="B528" s="8161" t="s">
        <v>14</v>
      </c>
      <c r="C528" s="8161" t="s">
        <v>3112</v>
      </c>
      <c r="D528" s="8161" t="s">
        <v>3113</v>
      </c>
      <c r="E528" s="8161" t="s">
        <v>3114</v>
      </c>
      <c r="F528" s="8161" t="s">
        <v>2283</v>
      </c>
      <c r="G528" s="8161" t="s">
        <v>24</v>
      </c>
      <c r="H528" s="8161" t="s">
        <v>24</v>
      </c>
      <c r="I528" s="8161" t="s">
        <v>929</v>
      </c>
    </row>
    <row customHeight="1" ht="11.25">
      <c r="A529" s="8161" t="s">
        <v>2279</v>
      </c>
      <c r="B529" s="8161" t="s">
        <v>14</v>
      </c>
      <c r="C529" s="8161" t="s">
        <v>3115</v>
      </c>
      <c r="D529" s="8161" t="s">
        <v>3116</v>
      </c>
      <c r="E529" s="8161" t="s">
        <v>3117</v>
      </c>
      <c r="F529" s="8161" t="s">
        <v>3106</v>
      </c>
      <c r="G529" s="8161" t="s">
        <v>24</v>
      </c>
      <c r="H529" s="8161" t="s">
        <v>24</v>
      </c>
      <c r="I529" s="8161" t="s">
        <v>929</v>
      </c>
    </row>
    <row customHeight="1" ht="11.25">
      <c r="A530" s="8161" t="s">
        <v>2279</v>
      </c>
      <c r="B530" s="8161" t="s">
        <v>14</v>
      </c>
      <c r="C530" s="8161" t="s">
        <v>3118</v>
      </c>
      <c r="D530" s="8161" t="s">
        <v>3119</v>
      </c>
      <c r="E530" s="8161" t="s">
        <v>3120</v>
      </c>
      <c r="F530" s="8161" t="s">
        <v>2468</v>
      </c>
      <c r="G530" s="8161" t="s">
        <v>24</v>
      </c>
      <c r="H530" s="8161" t="s">
        <v>24</v>
      </c>
      <c r="I530" s="8161" t="s">
        <v>929</v>
      </c>
    </row>
    <row customHeight="1" ht="11.25">
      <c r="A531" s="8161" t="s">
        <v>2279</v>
      </c>
      <c r="B531" s="8161" t="s">
        <v>14</v>
      </c>
      <c r="C531" s="8161" t="s">
        <v>3457</v>
      </c>
      <c r="D531" s="8161" t="s">
        <v>3458</v>
      </c>
      <c r="E531" s="8161" t="s">
        <v>3459</v>
      </c>
      <c r="F531" s="8161" t="s">
        <v>2300</v>
      </c>
      <c r="G531" s="8161" t="s">
        <v>3111</v>
      </c>
      <c r="H531" s="8161" t="s">
        <v>24</v>
      </c>
      <c r="I531" s="8161" t="s">
        <v>929</v>
      </c>
    </row>
    <row customHeight="1" ht="11.25">
      <c r="A532" s="8161" t="s">
        <v>2279</v>
      </c>
      <c r="B532" s="8161" t="s">
        <v>14</v>
      </c>
      <c r="C532" s="8161" t="s">
        <v>3460</v>
      </c>
      <c r="D532" s="8161" t="s">
        <v>3458</v>
      </c>
      <c r="E532" s="8161" t="s">
        <v>3461</v>
      </c>
      <c r="F532" s="8161" t="s">
        <v>2873</v>
      </c>
      <c r="G532" s="8161" t="s">
        <v>3124</v>
      </c>
      <c r="H532" s="8161" t="s">
        <v>24</v>
      </c>
      <c r="I532" s="8161" t="s">
        <v>929</v>
      </c>
    </row>
    <row customHeight="1" ht="11.25">
      <c r="A533" s="8161" t="s">
        <v>2279</v>
      </c>
      <c r="B533" s="8161" t="s">
        <v>14</v>
      </c>
      <c r="C533" s="8161" t="s">
        <v>2557</v>
      </c>
      <c r="D533" s="8161" t="s">
        <v>2558</v>
      </c>
      <c r="E533" s="8161" t="s">
        <v>2559</v>
      </c>
      <c r="F533" s="8161" t="s">
        <v>2560</v>
      </c>
      <c r="G533" s="8161" t="s">
        <v>2561</v>
      </c>
      <c r="H533" s="8161" t="s">
        <v>24</v>
      </c>
      <c r="I533" s="8161" t="s">
        <v>929</v>
      </c>
    </row>
    <row customHeight="1" ht="11.25">
      <c r="A534" s="8161" t="s">
        <v>2279</v>
      </c>
      <c r="B534" s="8161" t="s">
        <v>14</v>
      </c>
      <c r="C534" s="8161" t="s">
        <v>3125</v>
      </c>
      <c r="D534" s="8161" t="s">
        <v>3126</v>
      </c>
      <c r="E534" s="8161" t="s">
        <v>3127</v>
      </c>
      <c r="F534" s="8161" t="s">
        <v>2339</v>
      </c>
      <c r="G534" s="8161" t="s">
        <v>24</v>
      </c>
      <c r="H534" s="8161" t="s">
        <v>24</v>
      </c>
      <c r="I534" s="8161" t="s">
        <v>929</v>
      </c>
    </row>
    <row customHeight="1" ht="11.25">
      <c r="A535" s="8161" t="s">
        <v>2279</v>
      </c>
      <c r="B535" s="8161" t="s">
        <v>14</v>
      </c>
      <c r="C535" s="8161" t="s">
        <v>3462</v>
      </c>
      <c r="D535" s="8161" t="s">
        <v>3463</v>
      </c>
      <c r="E535" s="8161" t="s">
        <v>3464</v>
      </c>
      <c r="F535" s="8161" t="s">
        <v>2296</v>
      </c>
      <c r="G535" s="8161" t="s">
        <v>24</v>
      </c>
      <c r="H535" s="8161" t="s">
        <v>24</v>
      </c>
      <c r="I535" s="8161" t="s">
        <v>929</v>
      </c>
    </row>
    <row customHeight="1" ht="11.25">
      <c r="A536" s="8161" t="s">
        <v>2279</v>
      </c>
      <c r="B536" s="8161" t="s">
        <v>14</v>
      </c>
      <c r="C536" s="8161" t="s">
        <v>3131</v>
      </c>
      <c r="D536" s="8161" t="s">
        <v>3132</v>
      </c>
      <c r="E536" s="8161" t="s">
        <v>3133</v>
      </c>
      <c r="F536" s="8161" t="s">
        <v>2438</v>
      </c>
      <c r="G536" s="8161" t="s">
        <v>24</v>
      </c>
      <c r="H536" s="8161" t="s">
        <v>3134</v>
      </c>
      <c r="I536" s="8161" t="s">
        <v>929</v>
      </c>
    </row>
    <row customHeight="1" ht="11.25">
      <c r="A537" s="8161" t="s">
        <v>2279</v>
      </c>
      <c r="B537" s="8161" t="s">
        <v>14</v>
      </c>
      <c r="C537" s="8161" t="s">
        <v>3135</v>
      </c>
      <c r="D537" s="8161" t="s">
        <v>3136</v>
      </c>
      <c r="E537" s="8161" t="s">
        <v>3137</v>
      </c>
      <c r="F537" s="8161" t="s">
        <v>2367</v>
      </c>
      <c r="G537" s="8161" t="s">
        <v>24</v>
      </c>
      <c r="H537" s="8161" t="s">
        <v>3138</v>
      </c>
      <c r="I537" s="8161" t="s">
        <v>929</v>
      </c>
    </row>
    <row customHeight="1" ht="11.25">
      <c r="A538" s="8161" t="s">
        <v>2279</v>
      </c>
      <c r="B538" s="8161" t="s">
        <v>14</v>
      </c>
      <c r="C538" s="8161" t="s">
        <v>3139</v>
      </c>
      <c r="D538" s="8161" t="s">
        <v>3140</v>
      </c>
      <c r="E538" s="8161" t="s">
        <v>3141</v>
      </c>
      <c r="F538" s="8161" t="s">
        <v>2287</v>
      </c>
      <c r="G538" s="8161" t="s">
        <v>24</v>
      </c>
      <c r="H538" s="8161" t="s">
        <v>24</v>
      </c>
      <c r="I538" s="8161" t="s">
        <v>929</v>
      </c>
    </row>
    <row customHeight="1" ht="11.25">
      <c r="A539" s="8161" t="s">
        <v>2279</v>
      </c>
      <c r="B539" s="8161" t="s">
        <v>14</v>
      </c>
      <c r="C539" s="8161" t="s">
        <v>3142</v>
      </c>
      <c r="D539" s="8161" t="s">
        <v>3143</v>
      </c>
      <c r="E539" s="8161" t="s">
        <v>3144</v>
      </c>
      <c r="F539" s="8161" t="s">
        <v>2296</v>
      </c>
      <c r="G539" s="8161" t="s">
        <v>24</v>
      </c>
      <c r="H539" s="8161" t="s">
        <v>24</v>
      </c>
      <c r="I539" s="8161" t="s">
        <v>929</v>
      </c>
    </row>
    <row customHeight="1" ht="11.25">
      <c r="A540" s="8161" t="s">
        <v>2279</v>
      </c>
      <c r="B540" s="8161" t="s">
        <v>14</v>
      </c>
      <c r="C540" s="8161" t="s">
        <v>3145</v>
      </c>
      <c r="D540" s="8161" t="s">
        <v>3146</v>
      </c>
      <c r="E540" s="8161" t="s">
        <v>3147</v>
      </c>
      <c r="F540" s="8161" t="s">
        <v>2283</v>
      </c>
      <c r="G540" s="8161" t="s">
        <v>24</v>
      </c>
      <c r="H540" s="8161" t="s">
        <v>3148</v>
      </c>
      <c r="I540" s="8161" t="s">
        <v>929</v>
      </c>
    </row>
    <row customHeight="1" ht="11.25">
      <c r="A541" s="8161" t="s">
        <v>2279</v>
      </c>
      <c r="B541" s="8161" t="s">
        <v>14</v>
      </c>
      <c r="C541" s="8161" t="s">
        <v>3149</v>
      </c>
      <c r="D541" s="8161" t="s">
        <v>3150</v>
      </c>
      <c r="E541" s="8161" t="s">
        <v>3151</v>
      </c>
      <c r="F541" s="8161" t="s">
        <v>2283</v>
      </c>
      <c r="G541" s="8161" t="s">
        <v>24</v>
      </c>
      <c r="H541" s="8161" t="s">
        <v>2457</v>
      </c>
      <c r="I541" s="8161" t="s">
        <v>929</v>
      </c>
    </row>
    <row customHeight="1" ht="11.25">
      <c r="A542" s="8161" t="s">
        <v>2279</v>
      </c>
      <c r="B542" s="8161" t="s">
        <v>14</v>
      </c>
      <c r="C542" s="8161" t="s">
        <v>2600</v>
      </c>
      <c r="D542" s="8161" t="s">
        <v>2601</v>
      </c>
      <c r="E542" s="8161" t="s">
        <v>2602</v>
      </c>
      <c r="F542" s="8161" t="s">
        <v>2560</v>
      </c>
      <c r="G542" s="8161" t="s">
        <v>24</v>
      </c>
      <c r="H542" s="8161" t="s">
        <v>24</v>
      </c>
      <c r="I542" s="8161" t="s">
        <v>929</v>
      </c>
    </row>
    <row customHeight="1" ht="11.25">
      <c r="A543" s="8161" t="s">
        <v>2279</v>
      </c>
      <c r="B543" s="8161" t="s">
        <v>14</v>
      </c>
      <c r="C543" s="8161" t="s">
        <v>2606</v>
      </c>
      <c r="D543" s="8161" t="s">
        <v>2607</v>
      </c>
      <c r="E543" s="8161" t="s">
        <v>2608</v>
      </c>
      <c r="F543" s="8161" t="s">
        <v>2560</v>
      </c>
      <c r="G543" s="8161" t="s">
        <v>24</v>
      </c>
      <c r="H543" s="8161" t="s">
        <v>24</v>
      </c>
      <c r="I543" s="8161" t="s">
        <v>929</v>
      </c>
    </row>
    <row customHeight="1" ht="11.25">
      <c r="A544" s="8161" t="s">
        <v>2279</v>
      </c>
      <c r="B544" s="8161" t="s">
        <v>14</v>
      </c>
      <c r="C544" s="8161" t="s">
        <v>3152</v>
      </c>
      <c r="D544" s="8161" t="s">
        <v>3153</v>
      </c>
      <c r="E544" s="8161" t="s">
        <v>3154</v>
      </c>
      <c r="F544" s="8161" t="s">
        <v>2560</v>
      </c>
      <c r="G544" s="8161" t="s">
        <v>24</v>
      </c>
      <c r="H544" s="8161" t="s">
        <v>24</v>
      </c>
      <c r="I544" s="8161" t="s">
        <v>929</v>
      </c>
    </row>
    <row customHeight="1" ht="11.25">
      <c r="A545" s="8161" t="s">
        <v>2279</v>
      </c>
      <c r="B545" s="8161" t="s">
        <v>14</v>
      </c>
      <c r="C545" s="8161" t="s">
        <v>3155</v>
      </c>
      <c r="D545" s="8161" t="s">
        <v>3156</v>
      </c>
      <c r="E545" s="8161" t="s">
        <v>3157</v>
      </c>
      <c r="F545" s="8161" t="s">
        <v>2509</v>
      </c>
      <c r="G545" s="8161" t="s">
        <v>24</v>
      </c>
      <c r="H545" s="8161" t="s">
        <v>3158</v>
      </c>
      <c r="I545" s="8161" t="s">
        <v>929</v>
      </c>
    </row>
    <row customHeight="1" ht="11.25">
      <c r="A546" s="8161" t="s">
        <v>2279</v>
      </c>
      <c r="B546" s="8161" t="s">
        <v>14</v>
      </c>
      <c r="C546" s="8161" t="s">
        <v>3159</v>
      </c>
      <c r="D546" s="8161" t="s">
        <v>3160</v>
      </c>
      <c r="E546" s="8161" t="s">
        <v>3161</v>
      </c>
      <c r="F546" s="8161" t="s">
        <v>2418</v>
      </c>
      <c r="G546" s="8161" t="s">
        <v>3162</v>
      </c>
      <c r="H546" s="8161" t="s">
        <v>24</v>
      </c>
      <c r="I546" s="8161" t="s">
        <v>929</v>
      </c>
    </row>
    <row customHeight="1" ht="11.25">
      <c r="A547" s="8161" t="s">
        <v>2279</v>
      </c>
      <c r="B547" s="8161" t="s">
        <v>14</v>
      </c>
      <c r="C547" s="8161" t="s">
        <v>3163</v>
      </c>
      <c r="D547" s="8161" t="s">
        <v>3164</v>
      </c>
      <c r="E547" s="8161" t="s">
        <v>3165</v>
      </c>
      <c r="F547" s="8161" t="s">
        <v>2296</v>
      </c>
      <c r="G547" s="8161" t="s">
        <v>3166</v>
      </c>
      <c r="H547" s="8161" t="s">
        <v>24</v>
      </c>
      <c r="I547" s="8161" t="s">
        <v>929</v>
      </c>
    </row>
    <row customHeight="1" ht="11.25">
      <c r="A548" s="8161" t="s">
        <v>2279</v>
      </c>
      <c r="B548" s="8161" t="s">
        <v>14</v>
      </c>
      <c r="C548" s="8161" t="s">
        <v>3465</v>
      </c>
      <c r="D548" s="8161" t="s">
        <v>3466</v>
      </c>
      <c r="E548" s="8161" t="s">
        <v>3467</v>
      </c>
      <c r="F548" s="8161" t="s">
        <v>2296</v>
      </c>
      <c r="G548" s="8161" t="s">
        <v>24</v>
      </c>
      <c r="H548" s="8161" t="s">
        <v>3468</v>
      </c>
      <c r="I548" s="8161" t="s">
        <v>929</v>
      </c>
    </row>
    <row customHeight="1" ht="11.25">
      <c r="A549" s="8161" t="s">
        <v>2279</v>
      </c>
      <c r="B549" s="8161" t="s">
        <v>14</v>
      </c>
      <c r="C549" s="8161" t="s">
        <v>3167</v>
      </c>
      <c r="D549" s="8161" t="s">
        <v>3168</v>
      </c>
      <c r="E549" s="8161" t="s">
        <v>3169</v>
      </c>
      <c r="F549" s="8161" t="s">
        <v>2438</v>
      </c>
      <c r="G549" s="8161" t="s">
        <v>24</v>
      </c>
      <c r="H549" s="8161" t="s">
        <v>24</v>
      </c>
      <c r="I549" s="8161" t="s">
        <v>929</v>
      </c>
    </row>
    <row customHeight="1" ht="11.25">
      <c r="A550" s="8161" t="s">
        <v>2279</v>
      </c>
      <c r="B550" s="8161" t="s">
        <v>14</v>
      </c>
      <c r="C550" s="8161" t="s">
        <v>3170</v>
      </c>
      <c r="D550" s="8161" t="s">
        <v>3171</v>
      </c>
      <c r="E550" s="8161" t="s">
        <v>3172</v>
      </c>
      <c r="F550" s="8161" t="s">
        <v>2873</v>
      </c>
      <c r="G550" s="8161" t="s">
        <v>3173</v>
      </c>
      <c r="H550" s="8161" t="s">
        <v>24</v>
      </c>
      <c r="I550" s="8161" t="s">
        <v>929</v>
      </c>
    </row>
    <row customHeight="1" ht="11.25">
      <c r="A551" s="8161" t="s">
        <v>2279</v>
      </c>
      <c r="B551" s="8161" t="s">
        <v>14</v>
      </c>
      <c r="C551" s="8161" t="s">
        <v>3174</v>
      </c>
      <c r="D551" s="8161" t="s">
        <v>3175</v>
      </c>
      <c r="E551" s="8161" t="s">
        <v>3176</v>
      </c>
      <c r="F551" s="8161" t="s">
        <v>2616</v>
      </c>
      <c r="G551" s="8161" t="s">
        <v>24</v>
      </c>
      <c r="H551" s="8161" t="s">
        <v>3177</v>
      </c>
      <c r="I551" s="8161" t="s">
        <v>929</v>
      </c>
    </row>
    <row customHeight="1" ht="11.25">
      <c r="A552" s="8161" t="s">
        <v>2279</v>
      </c>
      <c r="B552" s="8161" t="s">
        <v>14</v>
      </c>
      <c r="C552" s="8161" t="s">
        <v>3178</v>
      </c>
      <c r="D552" s="8161" t="s">
        <v>3179</v>
      </c>
      <c r="E552" s="8161" t="s">
        <v>3180</v>
      </c>
      <c r="F552" s="8161" t="s">
        <v>2359</v>
      </c>
      <c r="G552" s="8161" t="s">
        <v>3181</v>
      </c>
      <c r="H552" s="8161" t="s">
        <v>24</v>
      </c>
      <c r="I552" s="8161" t="s">
        <v>929</v>
      </c>
    </row>
    <row customHeight="1" ht="11.25">
      <c r="A553" s="8161" t="s">
        <v>2279</v>
      </c>
      <c r="B553" s="8161" t="s">
        <v>14</v>
      </c>
      <c r="C553" s="8161" t="s">
        <v>3182</v>
      </c>
      <c r="D553" s="8161" t="s">
        <v>3183</v>
      </c>
      <c r="E553" s="8161" t="s">
        <v>3184</v>
      </c>
      <c r="F553" s="8161" t="s">
        <v>2616</v>
      </c>
      <c r="G553" s="8161" t="s">
        <v>24</v>
      </c>
      <c r="H553" s="8161" t="s">
        <v>3134</v>
      </c>
      <c r="I553" s="8161" t="s">
        <v>929</v>
      </c>
    </row>
    <row customHeight="1" ht="11.25">
      <c r="A554" s="8161" t="s">
        <v>2279</v>
      </c>
      <c r="B554" s="8161" t="s">
        <v>14</v>
      </c>
      <c r="C554" s="8161" t="s">
        <v>3469</v>
      </c>
      <c r="D554" s="8161" t="s">
        <v>3470</v>
      </c>
      <c r="E554" s="8161" t="s">
        <v>3471</v>
      </c>
      <c r="F554" s="8161" t="s">
        <v>2287</v>
      </c>
      <c r="G554" s="8161" t="s">
        <v>24</v>
      </c>
      <c r="H554" s="8161" t="s">
        <v>24</v>
      </c>
      <c r="I554" s="8161" t="s">
        <v>929</v>
      </c>
    </row>
    <row customHeight="1" ht="11.25">
      <c r="A555" s="8161" t="s">
        <v>2279</v>
      </c>
      <c r="B555" s="8161" t="s">
        <v>14</v>
      </c>
      <c r="C555" s="8161" t="s">
        <v>3185</v>
      </c>
      <c r="D555" s="8161" t="s">
        <v>3186</v>
      </c>
      <c r="E555" s="8161" t="s">
        <v>3187</v>
      </c>
      <c r="F555" s="8161" t="s">
        <v>2574</v>
      </c>
      <c r="G555" s="8161" t="s">
        <v>24</v>
      </c>
      <c r="H555" s="8161" t="s">
        <v>3134</v>
      </c>
      <c r="I555" s="8161" t="s">
        <v>929</v>
      </c>
    </row>
    <row customHeight="1" ht="11.25">
      <c r="A556" s="8161" t="s">
        <v>2279</v>
      </c>
      <c r="B556" s="8161" t="s">
        <v>14</v>
      </c>
      <c r="C556" s="8161" t="s">
        <v>2618</v>
      </c>
      <c r="D556" s="8161" t="s">
        <v>2619</v>
      </c>
      <c r="E556" s="8161" t="s">
        <v>2620</v>
      </c>
      <c r="F556" s="8161" t="s">
        <v>2560</v>
      </c>
      <c r="G556" s="8161" t="s">
        <v>24</v>
      </c>
      <c r="H556" s="8161" t="s">
        <v>24</v>
      </c>
      <c r="I556" s="8161" t="s">
        <v>929</v>
      </c>
    </row>
    <row customHeight="1" ht="11.25">
      <c r="A557" s="8161" t="s">
        <v>2279</v>
      </c>
      <c r="B557" s="8161" t="s">
        <v>14</v>
      </c>
      <c r="C557" s="8161" t="s">
        <v>3192</v>
      </c>
      <c r="D557" s="8161" t="s">
        <v>3193</v>
      </c>
      <c r="E557" s="8161" t="s">
        <v>3194</v>
      </c>
      <c r="F557" s="8161" t="s">
        <v>2418</v>
      </c>
      <c r="G557" s="8161" t="s">
        <v>24</v>
      </c>
      <c r="H557" s="8161" t="s">
        <v>24</v>
      </c>
      <c r="I557" s="8161" t="s">
        <v>929</v>
      </c>
    </row>
    <row customHeight="1" ht="11.25">
      <c r="A558" s="8161" t="s">
        <v>2279</v>
      </c>
      <c r="B558" s="8161" t="s">
        <v>14</v>
      </c>
      <c r="C558" s="8161" t="s">
        <v>2628</v>
      </c>
      <c r="D558" s="8161" t="s">
        <v>2629</v>
      </c>
      <c r="E558" s="8161" t="s">
        <v>2630</v>
      </c>
      <c r="F558" s="8161" t="s">
        <v>2631</v>
      </c>
      <c r="G558" s="8161" t="s">
        <v>2632</v>
      </c>
      <c r="H558" s="8161" t="s">
        <v>2633</v>
      </c>
      <c r="I558" s="8161" t="s">
        <v>929</v>
      </c>
    </row>
    <row customHeight="1" ht="11.25">
      <c r="A559" s="8161" t="s">
        <v>2279</v>
      </c>
      <c r="B559" s="8161" t="s">
        <v>14</v>
      </c>
      <c r="C559" s="8161" t="s">
        <v>3195</v>
      </c>
      <c r="D559" s="8161" t="s">
        <v>3196</v>
      </c>
      <c r="E559" s="8161" t="s">
        <v>3197</v>
      </c>
      <c r="F559" s="8161" t="s">
        <v>3094</v>
      </c>
      <c r="G559" s="8161" t="s">
        <v>24</v>
      </c>
      <c r="H559" s="8161" t="s">
        <v>3198</v>
      </c>
      <c r="I559" s="8161" t="s">
        <v>929</v>
      </c>
    </row>
    <row customHeight="1" ht="11.25">
      <c r="A560" s="8161" t="s">
        <v>2279</v>
      </c>
      <c r="B560" s="8161" t="s">
        <v>14</v>
      </c>
      <c r="C560" s="8161" t="s">
        <v>3199</v>
      </c>
      <c r="D560" s="8161" t="s">
        <v>3200</v>
      </c>
      <c r="E560" s="8161" t="s">
        <v>3201</v>
      </c>
      <c r="F560" s="8161" t="s">
        <v>2283</v>
      </c>
      <c r="G560" s="8161" t="s">
        <v>24</v>
      </c>
      <c r="H560" s="8161" t="s">
        <v>2311</v>
      </c>
      <c r="I560" s="8161" t="s">
        <v>929</v>
      </c>
    </row>
    <row customHeight="1" ht="11.25">
      <c r="A561" s="8161" t="s">
        <v>2279</v>
      </c>
      <c r="B561" s="8161" t="s">
        <v>14</v>
      </c>
      <c r="C561" s="8161" t="s">
        <v>3202</v>
      </c>
      <c r="D561" s="8161" t="s">
        <v>3203</v>
      </c>
      <c r="E561" s="8161" t="s">
        <v>3204</v>
      </c>
      <c r="F561" s="8161" t="s">
        <v>2359</v>
      </c>
      <c r="G561" s="8161" t="s">
        <v>24</v>
      </c>
      <c r="H561" s="8161" t="s">
        <v>3205</v>
      </c>
      <c r="I561" s="8161" t="s">
        <v>929</v>
      </c>
    </row>
    <row customHeight="1" ht="11.25">
      <c r="A562" s="8161" t="s">
        <v>2279</v>
      </c>
      <c r="B562" s="8161" t="s">
        <v>14</v>
      </c>
      <c r="C562" s="8161" t="s">
        <v>3206</v>
      </c>
      <c r="D562" s="8161" t="s">
        <v>3207</v>
      </c>
      <c r="E562" s="8161" t="s">
        <v>3208</v>
      </c>
      <c r="F562" s="8161" t="s">
        <v>2359</v>
      </c>
      <c r="G562" s="8161" t="s">
        <v>24</v>
      </c>
      <c r="H562" s="8161" t="s">
        <v>3209</v>
      </c>
      <c r="I562" s="8161" t="s">
        <v>929</v>
      </c>
    </row>
    <row customHeight="1" ht="11.25">
      <c r="A563" s="8161" t="s">
        <v>2279</v>
      </c>
      <c r="B563" s="8161" t="s">
        <v>14</v>
      </c>
      <c r="C563" s="8161" t="s">
        <v>2650</v>
      </c>
      <c r="D563" s="8161" t="s">
        <v>2651</v>
      </c>
      <c r="E563" s="8161" t="s">
        <v>2652</v>
      </c>
      <c r="F563" s="8161" t="s">
        <v>2339</v>
      </c>
      <c r="G563" s="8161" t="s">
        <v>24</v>
      </c>
      <c r="H563" s="8161" t="s">
        <v>24</v>
      </c>
      <c r="I563" s="8161" t="s">
        <v>929</v>
      </c>
    </row>
    <row customHeight="1" ht="11.25">
      <c r="A564" s="8161" t="s">
        <v>2279</v>
      </c>
      <c r="B564" s="8161" t="s">
        <v>14</v>
      </c>
      <c r="C564" s="8161" t="s">
        <v>2673</v>
      </c>
      <c r="D564" s="8161" t="s">
        <v>2674</v>
      </c>
      <c r="E564" s="8161" t="s">
        <v>2675</v>
      </c>
      <c r="F564" s="8161" t="s">
        <v>2448</v>
      </c>
      <c r="G564" s="8161" t="s">
        <v>2676</v>
      </c>
      <c r="H564" s="8161" t="s">
        <v>24</v>
      </c>
      <c r="I564" s="8161" t="s">
        <v>929</v>
      </c>
    </row>
    <row customHeight="1" ht="11.25">
      <c r="A565" s="8161" t="s">
        <v>2279</v>
      </c>
      <c r="B565" s="8161" t="s">
        <v>14</v>
      </c>
      <c r="C565" s="8161" t="s">
        <v>2683</v>
      </c>
      <c r="D565" s="8161" t="s">
        <v>2684</v>
      </c>
      <c r="E565" s="8161" t="s">
        <v>2685</v>
      </c>
      <c r="F565" s="8161" t="s">
        <v>2686</v>
      </c>
      <c r="G565" s="8161" t="s">
        <v>24</v>
      </c>
      <c r="H565" s="8161" t="s">
        <v>2687</v>
      </c>
      <c r="I565" s="8161" t="s">
        <v>929</v>
      </c>
    </row>
    <row customHeight="1" ht="11.25">
      <c r="A566" s="8161" t="s">
        <v>2279</v>
      </c>
      <c r="B566" s="8161" t="s">
        <v>14</v>
      </c>
      <c r="C566" s="8161" t="s">
        <v>3215</v>
      </c>
      <c r="D566" s="8161" t="s">
        <v>3216</v>
      </c>
      <c r="E566" s="8161" t="s">
        <v>3217</v>
      </c>
      <c r="F566" s="8161" t="s">
        <v>2509</v>
      </c>
      <c r="G566" s="8161" t="s">
        <v>24</v>
      </c>
      <c r="H566" s="8161" t="s">
        <v>24</v>
      </c>
      <c r="I566" s="8161" t="s">
        <v>929</v>
      </c>
    </row>
    <row customHeight="1" ht="11.25">
      <c r="A567" s="8161" t="s">
        <v>2279</v>
      </c>
      <c r="B567" s="8161" t="s">
        <v>14</v>
      </c>
      <c r="C567" s="8161" t="s">
        <v>3218</v>
      </c>
      <c r="D567" s="8161" t="s">
        <v>3219</v>
      </c>
      <c r="E567" s="8161" t="s">
        <v>3220</v>
      </c>
      <c r="F567" s="8161" t="s">
        <v>2438</v>
      </c>
      <c r="G567" s="8161" t="s">
        <v>24</v>
      </c>
      <c r="H567" s="8161" t="s">
        <v>24</v>
      </c>
      <c r="I567" s="8161" t="s">
        <v>929</v>
      </c>
    </row>
    <row customHeight="1" ht="11.25">
      <c r="A568" s="8161" t="s">
        <v>2279</v>
      </c>
      <c r="B568" s="8161" t="s">
        <v>14</v>
      </c>
      <c r="C568" s="8161" t="s">
        <v>2694</v>
      </c>
      <c r="D568" s="8161" t="s">
        <v>2695</v>
      </c>
      <c r="E568" s="8161" t="s">
        <v>2696</v>
      </c>
      <c r="F568" s="8161" t="s">
        <v>2697</v>
      </c>
      <c r="G568" s="8161" t="s">
        <v>24</v>
      </c>
      <c r="H568" s="8161" t="s">
        <v>2698</v>
      </c>
      <c r="I568" s="8161" t="s">
        <v>929</v>
      </c>
    </row>
    <row customHeight="1" ht="11.25">
      <c r="A569" s="8161" t="s">
        <v>2279</v>
      </c>
      <c r="B569" s="8161" t="s">
        <v>14</v>
      </c>
      <c r="C569" s="8161" t="s">
        <v>3221</v>
      </c>
      <c r="D569" s="8161" t="s">
        <v>3222</v>
      </c>
      <c r="E569" s="8161" t="s">
        <v>3223</v>
      </c>
      <c r="F569" s="8161" t="s">
        <v>3224</v>
      </c>
      <c r="G569" s="8161" t="s">
        <v>24</v>
      </c>
      <c r="H569" s="8161" t="s">
        <v>24</v>
      </c>
      <c r="I569" s="8161" t="s">
        <v>929</v>
      </c>
    </row>
    <row customHeight="1" ht="11.25">
      <c r="A570" s="8161" t="s">
        <v>2279</v>
      </c>
      <c r="B570" s="8161" t="s">
        <v>14</v>
      </c>
      <c r="C570" s="8161" t="s">
        <v>3225</v>
      </c>
      <c r="D570" s="8161" t="s">
        <v>3226</v>
      </c>
      <c r="E570" s="8161" t="s">
        <v>3227</v>
      </c>
      <c r="F570" s="8161" t="s">
        <v>2448</v>
      </c>
      <c r="G570" s="8161" t="s">
        <v>24</v>
      </c>
      <c r="H570" s="8161" t="s">
        <v>24</v>
      </c>
      <c r="I570" s="8161" t="s">
        <v>929</v>
      </c>
    </row>
    <row customHeight="1" ht="11.25">
      <c r="A571" s="8161" t="s">
        <v>2279</v>
      </c>
      <c r="B571" s="8161" t="s">
        <v>14</v>
      </c>
      <c r="C571" s="8161" t="s">
        <v>3228</v>
      </c>
      <c r="D571" s="8161" t="s">
        <v>3229</v>
      </c>
      <c r="E571" s="8161" t="s">
        <v>3230</v>
      </c>
      <c r="F571" s="8161" t="s">
        <v>2283</v>
      </c>
      <c r="G571" s="8161" t="s">
        <v>24</v>
      </c>
      <c r="H571" s="8161" t="s">
        <v>24</v>
      </c>
      <c r="I571" s="8161" t="s">
        <v>929</v>
      </c>
    </row>
    <row customHeight="1" ht="11.25">
      <c r="A572" s="8161" t="s">
        <v>2279</v>
      </c>
      <c r="B572" s="8161" t="s">
        <v>14</v>
      </c>
      <c r="C572" s="8161" t="s">
        <v>2721</v>
      </c>
      <c r="D572" s="8161" t="s">
        <v>2722</v>
      </c>
      <c r="E572" s="8161" t="s">
        <v>2723</v>
      </c>
      <c r="F572" s="8161" t="s">
        <v>2418</v>
      </c>
      <c r="G572" s="8161" t="s">
        <v>2360</v>
      </c>
      <c r="H572" s="8161" t="s">
        <v>24</v>
      </c>
      <c r="I572" s="8161" t="s">
        <v>929</v>
      </c>
    </row>
    <row customHeight="1" ht="11.25">
      <c r="A573" s="8161" t="s">
        <v>2279</v>
      </c>
      <c r="B573" s="8161" t="s">
        <v>14</v>
      </c>
      <c r="C573" s="8161" t="s">
        <v>3231</v>
      </c>
      <c r="D573" s="8161" t="s">
        <v>3232</v>
      </c>
      <c r="E573" s="8161" t="s">
        <v>3233</v>
      </c>
      <c r="F573" s="8161" t="s">
        <v>2438</v>
      </c>
      <c r="G573" s="8161" t="s">
        <v>3234</v>
      </c>
      <c r="H573" s="8161" t="s">
        <v>3235</v>
      </c>
      <c r="I573" s="8161" t="s">
        <v>929</v>
      </c>
    </row>
    <row customHeight="1" ht="11.25">
      <c r="A574" s="8161" t="s">
        <v>2279</v>
      </c>
      <c r="B574" s="8161" t="s">
        <v>14</v>
      </c>
      <c r="C574" s="8161" t="s">
        <v>3472</v>
      </c>
      <c r="D574" s="8161" t="s">
        <v>3473</v>
      </c>
      <c r="E574" s="8161" t="s">
        <v>3474</v>
      </c>
      <c r="F574" s="8161" t="s">
        <v>2697</v>
      </c>
      <c r="G574" s="8161" t="s">
        <v>3475</v>
      </c>
      <c r="H574" s="8161" t="s">
        <v>24</v>
      </c>
      <c r="I574" s="8161" t="s">
        <v>929</v>
      </c>
    </row>
    <row customHeight="1" ht="11.25">
      <c r="A575" s="8161" t="s">
        <v>2279</v>
      </c>
      <c r="B575" s="8161" t="s">
        <v>14</v>
      </c>
      <c r="C575" s="8161" t="s">
        <v>3236</v>
      </c>
      <c r="D575" s="8161" t="s">
        <v>3237</v>
      </c>
      <c r="E575" s="8161" t="s">
        <v>3238</v>
      </c>
      <c r="F575" s="8161" t="s">
        <v>2438</v>
      </c>
      <c r="G575" s="8161" t="s">
        <v>24</v>
      </c>
      <c r="H575" s="8161" t="s">
        <v>3138</v>
      </c>
      <c r="I575" s="8161" t="s">
        <v>929</v>
      </c>
    </row>
    <row customHeight="1" ht="11.25">
      <c r="A576" s="8161" t="s">
        <v>2279</v>
      </c>
      <c r="B576" s="8161" t="s">
        <v>14</v>
      </c>
      <c r="C576" s="8161" t="s">
        <v>3239</v>
      </c>
      <c r="D576" s="8161" t="s">
        <v>3240</v>
      </c>
      <c r="E576" s="8161" t="s">
        <v>3241</v>
      </c>
      <c r="F576" s="8161" t="s">
        <v>2418</v>
      </c>
      <c r="G576" s="8161" t="s">
        <v>24</v>
      </c>
      <c r="H576" s="8161" t="s">
        <v>24</v>
      </c>
      <c r="I576" s="8161" t="s">
        <v>929</v>
      </c>
    </row>
    <row customHeight="1" ht="11.25">
      <c r="A577" s="8161" t="s">
        <v>2279</v>
      </c>
      <c r="B577" s="8161" t="s">
        <v>14</v>
      </c>
      <c r="C577" s="8161" t="s">
        <v>3476</v>
      </c>
      <c r="D577" s="8161" t="s">
        <v>3477</v>
      </c>
      <c r="E577" s="8161" t="s">
        <v>3478</v>
      </c>
      <c r="F577" s="8161" t="s">
        <v>2287</v>
      </c>
      <c r="G577" s="8161" t="s">
        <v>3479</v>
      </c>
      <c r="H577" s="8161" t="s">
        <v>3480</v>
      </c>
      <c r="I577" s="8161" t="s">
        <v>929</v>
      </c>
    </row>
    <row customHeight="1" ht="11.25">
      <c r="A578" s="8161" t="s">
        <v>2279</v>
      </c>
      <c r="B578" s="8161" t="s">
        <v>14</v>
      </c>
      <c r="C578" s="8161" t="s">
        <v>3245</v>
      </c>
      <c r="D578" s="8161" t="s">
        <v>3246</v>
      </c>
      <c r="E578" s="8161" t="s">
        <v>3247</v>
      </c>
      <c r="F578" s="8161" t="s">
        <v>3248</v>
      </c>
      <c r="G578" s="8161" t="s">
        <v>3249</v>
      </c>
      <c r="H578" s="8161" t="s">
        <v>3250</v>
      </c>
      <c r="I578" s="8161" t="s">
        <v>929</v>
      </c>
    </row>
    <row customHeight="1" ht="11.25">
      <c r="A579" s="8161" t="s">
        <v>2279</v>
      </c>
      <c r="B579" s="8161" t="s">
        <v>14</v>
      </c>
      <c r="C579" s="8161" t="s">
        <v>2759</v>
      </c>
      <c r="D579" s="8161" t="s">
        <v>2760</v>
      </c>
      <c r="E579" s="8161" t="s">
        <v>2761</v>
      </c>
      <c r="F579" s="8161" t="s">
        <v>2574</v>
      </c>
      <c r="G579" s="8161" t="s">
        <v>24</v>
      </c>
      <c r="H579" s="8161" t="s">
        <v>24</v>
      </c>
      <c r="I579" s="8161" t="s">
        <v>929</v>
      </c>
    </row>
    <row customHeight="1" ht="11.25">
      <c r="A580" s="8161" t="s">
        <v>2279</v>
      </c>
      <c r="B580" s="8161" t="s">
        <v>14</v>
      </c>
      <c r="C580" s="8161" t="s">
        <v>3251</v>
      </c>
      <c r="D580" s="8161" t="s">
        <v>3252</v>
      </c>
      <c r="E580" s="8161" t="s">
        <v>3253</v>
      </c>
      <c r="F580" s="8161" t="s">
        <v>2873</v>
      </c>
      <c r="G580" s="8161" t="s">
        <v>24</v>
      </c>
      <c r="H580" s="8161" t="s">
        <v>3254</v>
      </c>
      <c r="I580" s="8161" t="s">
        <v>929</v>
      </c>
    </row>
    <row customHeight="1" ht="11.25">
      <c r="A581" s="8161" t="s">
        <v>2279</v>
      </c>
      <c r="B581" s="8161" t="s">
        <v>14</v>
      </c>
      <c r="C581" s="8161" t="s">
        <v>3255</v>
      </c>
      <c r="D581" s="8161" t="s">
        <v>3256</v>
      </c>
      <c r="E581" s="8161" t="s">
        <v>3257</v>
      </c>
      <c r="F581" s="8161" t="s">
        <v>2283</v>
      </c>
      <c r="G581" s="8161" t="s">
        <v>24</v>
      </c>
      <c r="H581" s="8161" t="s">
        <v>24</v>
      </c>
      <c r="I581" s="8161" t="s">
        <v>929</v>
      </c>
    </row>
    <row customHeight="1" ht="11.25">
      <c r="A582" s="8161" t="s">
        <v>2279</v>
      </c>
      <c r="B582" s="8161" t="s">
        <v>14</v>
      </c>
      <c r="C582" s="8161" t="s">
        <v>3258</v>
      </c>
      <c r="D582" s="8161" t="s">
        <v>3259</v>
      </c>
      <c r="E582" s="8161" t="s">
        <v>3260</v>
      </c>
      <c r="F582" s="8161" t="s">
        <v>2359</v>
      </c>
      <c r="G582" s="8161" t="s">
        <v>24</v>
      </c>
      <c r="H582" s="8161" t="s">
        <v>3138</v>
      </c>
      <c r="I582" s="8161" t="s">
        <v>929</v>
      </c>
    </row>
    <row customHeight="1" ht="11.25">
      <c r="A583" s="8161" t="s">
        <v>2279</v>
      </c>
      <c r="B583" s="8161" t="s">
        <v>14</v>
      </c>
      <c r="C583" s="8161" t="s">
        <v>3261</v>
      </c>
      <c r="D583" s="8161" t="s">
        <v>3262</v>
      </c>
      <c r="E583" s="8161" t="s">
        <v>3263</v>
      </c>
      <c r="F583" s="8161" t="s">
        <v>2560</v>
      </c>
      <c r="G583" s="8161" t="s">
        <v>24</v>
      </c>
      <c r="H583" s="8161" t="s">
        <v>24</v>
      </c>
      <c r="I583" s="8161" t="s">
        <v>929</v>
      </c>
    </row>
    <row customHeight="1" ht="11.25">
      <c r="A584" s="8161" t="s">
        <v>2279</v>
      </c>
      <c r="B584" s="8161" t="s">
        <v>14</v>
      </c>
      <c r="C584" s="8161" t="s">
        <v>3264</v>
      </c>
      <c r="D584" s="8161" t="s">
        <v>3265</v>
      </c>
      <c r="E584" s="8161" t="s">
        <v>3266</v>
      </c>
      <c r="F584" s="8161" t="s">
        <v>3044</v>
      </c>
      <c r="G584" s="8161" t="s">
        <v>24</v>
      </c>
      <c r="H584" s="8161" t="s">
        <v>3267</v>
      </c>
      <c r="I584" s="8161" t="s">
        <v>929</v>
      </c>
    </row>
    <row customHeight="1" ht="11.25">
      <c r="A585" s="8161" t="s">
        <v>2279</v>
      </c>
      <c r="B585" s="8161" t="s">
        <v>14</v>
      </c>
      <c r="C585" s="8161" t="s">
        <v>3268</v>
      </c>
      <c r="D585" s="8161" t="s">
        <v>3269</v>
      </c>
      <c r="E585" s="8161" t="s">
        <v>3270</v>
      </c>
      <c r="F585" s="8161" t="s">
        <v>2509</v>
      </c>
      <c r="G585" s="8161" t="s">
        <v>24</v>
      </c>
      <c r="H585" s="8161" t="s">
        <v>3271</v>
      </c>
      <c r="I585" s="8161" t="s">
        <v>929</v>
      </c>
    </row>
    <row customHeight="1" ht="11.25">
      <c r="A586" s="8161" t="s">
        <v>2279</v>
      </c>
      <c r="B586" s="8161" t="s">
        <v>14</v>
      </c>
      <c r="C586" s="8161" t="s">
        <v>3272</v>
      </c>
      <c r="D586" s="8161" t="s">
        <v>3273</v>
      </c>
      <c r="E586" s="8161" t="s">
        <v>3274</v>
      </c>
      <c r="F586" s="8161" t="s">
        <v>2480</v>
      </c>
      <c r="G586" s="8161" t="s">
        <v>24</v>
      </c>
      <c r="H586" s="8161" t="s">
        <v>3275</v>
      </c>
      <c r="I586" s="8161" t="s">
        <v>929</v>
      </c>
    </row>
    <row customHeight="1" ht="11.25">
      <c r="A587" s="8161" t="s">
        <v>2279</v>
      </c>
      <c r="B587" s="8161" t="s">
        <v>14</v>
      </c>
      <c r="C587" s="8161" t="s">
        <v>3276</v>
      </c>
      <c r="D587" s="8161" t="s">
        <v>3277</v>
      </c>
      <c r="E587" s="8161" t="s">
        <v>3278</v>
      </c>
      <c r="F587" s="8161" t="s">
        <v>2291</v>
      </c>
      <c r="G587" s="8161" t="s">
        <v>24</v>
      </c>
      <c r="H587" s="8161" t="s">
        <v>3134</v>
      </c>
      <c r="I587" s="8161" t="s">
        <v>929</v>
      </c>
    </row>
    <row customHeight="1" ht="11.25">
      <c r="A588" s="8161" t="s">
        <v>2279</v>
      </c>
      <c r="B588" s="8161" t="s">
        <v>14</v>
      </c>
      <c r="C588" s="8161" t="s">
        <v>3282</v>
      </c>
      <c r="D588" s="8161" t="s">
        <v>3283</v>
      </c>
      <c r="E588" s="8161" t="s">
        <v>3284</v>
      </c>
      <c r="F588" s="8161" t="s">
        <v>3037</v>
      </c>
      <c r="G588" s="8161" t="s">
        <v>24</v>
      </c>
      <c r="H588" s="8161" t="s">
        <v>3138</v>
      </c>
      <c r="I588" s="8161" t="s">
        <v>929</v>
      </c>
    </row>
    <row customHeight="1" ht="11.25">
      <c r="A589" s="8161" t="s">
        <v>2279</v>
      </c>
      <c r="B589" s="8161" t="s">
        <v>14</v>
      </c>
      <c r="C589" s="8161" t="s">
        <v>3288</v>
      </c>
      <c r="D589" s="8161" t="s">
        <v>3289</v>
      </c>
      <c r="E589" s="8161" t="s">
        <v>3290</v>
      </c>
      <c r="F589" s="8161" t="s">
        <v>2448</v>
      </c>
      <c r="G589" s="8161" t="s">
        <v>24</v>
      </c>
      <c r="H589" s="8161" t="s">
        <v>3134</v>
      </c>
      <c r="I589" s="8161" t="s">
        <v>929</v>
      </c>
    </row>
    <row customHeight="1" ht="11.25">
      <c r="A590" s="8161" t="s">
        <v>2279</v>
      </c>
      <c r="B590" s="8161" t="s">
        <v>14</v>
      </c>
      <c r="C590" s="8161" t="s">
        <v>3295</v>
      </c>
      <c r="D590" s="8161" t="s">
        <v>3296</v>
      </c>
      <c r="E590" s="8161" t="s">
        <v>3297</v>
      </c>
      <c r="F590" s="8161" t="s">
        <v>2404</v>
      </c>
      <c r="G590" s="8161" t="s">
        <v>24</v>
      </c>
      <c r="H590" s="8161" t="s">
        <v>24</v>
      </c>
      <c r="I590" s="8161" t="s">
        <v>929</v>
      </c>
    </row>
    <row customHeight="1" ht="11.25">
      <c r="A591" s="8161" t="s">
        <v>2279</v>
      </c>
      <c r="B591" s="8161" t="s">
        <v>14</v>
      </c>
      <c r="C591" s="8161" t="s">
        <v>3298</v>
      </c>
      <c r="D591" s="8161" t="s">
        <v>3299</v>
      </c>
      <c r="E591" s="8161" t="s">
        <v>3300</v>
      </c>
      <c r="F591" s="8161" t="s">
        <v>2287</v>
      </c>
      <c r="G591" s="8161" t="s">
        <v>24</v>
      </c>
      <c r="H591" s="8161" t="s">
        <v>24</v>
      </c>
      <c r="I591" s="8161" t="s">
        <v>929</v>
      </c>
    </row>
    <row customHeight="1" ht="11.25">
      <c r="A592" s="8161" t="s">
        <v>2279</v>
      </c>
      <c r="B592" s="8161" t="s">
        <v>14</v>
      </c>
      <c r="C592" s="8161" t="s">
        <v>3304</v>
      </c>
      <c r="D592" s="8161" t="s">
        <v>3305</v>
      </c>
      <c r="E592" s="8161" t="s">
        <v>3306</v>
      </c>
      <c r="F592" s="8161" t="s">
        <v>2283</v>
      </c>
      <c r="G592" s="8161" t="s">
        <v>24</v>
      </c>
      <c r="H592" s="8161" t="s">
        <v>3134</v>
      </c>
      <c r="I592" s="8161" t="s">
        <v>929</v>
      </c>
    </row>
    <row customHeight="1" ht="11.25">
      <c r="A593" s="8161" t="s">
        <v>2279</v>
      </c>
      <c r="B593" s="8161" t="s">
        <v>14</v>
      </c>
      <c r="C593" s="8161" t="s">
        <v>3307</v>
      </c>
      <c r="D593" s="8161" t="s">
        <v>3308</v>
      </c>
      <c r="E593" s="8161" t="s">
        <v>3309</v>
      </c>
      <c r="F593" s="8161" t="s">
        <v>2359</v>
      </c>
      <c r="G593" s="8161" t="s">
        <v>24</v>
      </c>
      <c r="H593" s="8161" t="s">
        <v>3134</v>
      </c>
      <c r="I593" s="8161" t="s">
        <v>929</v>
      </c>
    </row>
    <row customHeight="1" ht="11.25">
      <c r="A594" s="8161" t="s">
        <v>2279</v>
      </c>
      <c r="B594" s="8161" t="s">
        <v>14</v>
      </c>
      <c r="C594" s="8161" t="s">
        <v>3310</v>
      </c>
      <c r="D594" s="8161" t="s">
        <v>3311</v>
      </c>
      <c r="E594" s="8161" t="s">
        <v>3312</v>
      </c>
      <c r="F594" s="8161" t="s">
        <v>2438</v>
      </c>
      <c r="G594" s="8161" t="s">
        <v>24</v>
      </c>
      <c r="H594" s="8161" t="s">
        <v>3134</v>
      </c>
      <c r="I594" s="8161" t="s">
        <v>929</v>
      </c>
    </row>
    <row customHeight="1" ht="11.25">
      <c r="A595" s="8161" t="s">
        <v>2279</v>
      </c>
      <c r="B595" s="8161" t="s">
        <v>14</v>
      </c>
      <c r="C595" s="8161" t="s">
        <v>3313</v>
      </c>
      <c r="D595" s="8161" t="s">
        <v>3314</v>
      </c>
      <c r="E595" s="8161" t="s">
        <v>3040</v>
      </c>
      <c r="F595" s="8161" t="s">
        <v>3315</v>
      </c>
      <c r="G595" s="8161" t="s">
        <v>24</v>
      </c>
      <c r="H595" s="8161" t="s">
        <v>3134</v>
      </c>
      <c r="I595" s="8161" t="s">
        <v>929</v>
      </c>
    </row>
    <row customHeight="1" ht="11.25">
      <c r="A596" s="8161" t="s">
        <v>2279</v>
      </c>
      <c r="B596" s="8161" t="s">
        <v>14</v>
      </c>
      <c r="C596" s="8161" t="s">
        <v>3316</v>
      </c>
      <c r="D596" s="8161" t="s">
        <v>3317</v>
      </c>
      <c r="E596" s="8161" t="s">
        <v>3318</v>
      </c>
      <c r="F596" s="8161" t="s">
        <v>2291</v>
      </c>
      <c r="G596" s="8161" t="s">
        <v>3319</v>
      </c>
      <c r="H596" s="8161" t="s">
        <v>24</v>
      </c>
      <c r="I596" s="8161" t="s">
        <v>929</v>
      </c>
    </row>
    <row customHeight="1" ht="11.25">
      <c r="A597" s="8161" t="s">
        <v>2279</v>
      </c>
      <c r="B597" s="8161" t="s">
        <v>14</v>
      </c>
      <c r="C597" s="8161" t="s">
        <v>3320</v>
      </c>
      <c r="D597" s="8161" t="s">
        <v>3321</v>
      </c>
      <c r="E597" s="8161" t="s">
        <v>3322</v>
      </c>
      <c r="F597" s="8161" t="s">
        <v>2283</v>
      </c>
      <c r="G597" s="8161" t="s">
        <v>24</v>
      </c>
      <c r="H597" s="8161" t="s">
        <v>3323</v>
      </c>
      <c r="I597" s="8161" t="s">
        <v>929</v>
      </c>
    </row>
    <row customHeight="1" ht="11.25">
      <c r="A598" s="8161" t="s">
        <v>2279</v>
      </c>
      <c r="B598" s="8161" t="s">
        <v>14</v>
      </c>
      <c r="C598" s="8161" t="s">
        <v>3324</v>
      </c>
      <c r="D598" s="8161" t="s">
        <v>3325</v>
      </c>
      <c r="E598" s="8161" t="s">
        <v>2286</v>
      </c>
      <c r="F598" s="8161" t="s">
        <v>2287</v>
      </c>
      <c r="G598" s="8161" t="s">
        <v>24</v>
      </c>
      <c r="H598" s="8161" t="s">
        <v>24</v>
      </c>
      <c r="I598" s="8161" t="s">
        <v>929</v>
      </c>
    </row>
    <row customHeight="1" ht="11.25">
      <c r="A599" s="8161" t="s">
        <v>2279</v>
      </c>
      <c r="B599" s="8161" t="s">
        <v>14</v>
      </c>
      <c r="C599" s="8161" t="s">
        <v>2765</v>
      </c>
      <c r="D599" s="8161" t="s">
        <v>2766</v>
      </c>
      <c r="E599" s="8161" t="s">
        <v>2767</v>
      </c>
      <c r="F599" s="8161" t="s">
        <v>2418</v>
      </c>
      <c r="G599" s="8161" t="s">
        <v>24</v>
      </c>
      <c r="H599" s="8161" t="s">
        <v>2311</v>
      </c>
      <c r="I599" s="8161" t="s">
        <v>929</v>
      </c>
    </row>
    <row customHeight="1" ht="11.25">
      <c r="A600" s="8161" t="s">
        <v>2279</v>
      </c>
      <c r="B600" s="8161" t="s">
        <v>14</v>
      </c>
      <c r="C600" s="8161" t="s">
        <v>3326</v>
      </c>
      <c r="D600" s="8161" t="s">
        <v>3327</v>
      </c>
      <c r="E600" s="8161" t="s">
        <v>3328</v>
      </c>
      <c r="F600" s="8161" t="s">
        <v>2283</v>
      </c>
      <c r="G600" s="8161" t="s">
        <v>24</v>
      </c>
      <c r="H600" s="8161" t="s">
        <v>3134</v>
      </c>
      <c r="I600" s="8161" t="s">
        <v>929</v>
      </c>
    </row>
    <row customHeight="1" ht="11.25">
      <c r="A601" s="8161" t="s">
        <v>2279</v>
      </c>
      <c r="B601" s="8161" t="s">
        <v>14</v>
      </c>
      <c r="C601" s="8161" t="s">
        <v>3329</v>
      </c>
      <c r="D601" s="8161" t="s">
        <v>3330</v>
      </c>
      <c r="E601" s="8161" t="s">
        <v>3331</v>
      </c>
      <c r="F601" s="8161" t="s">
        <v>2296</v>
      </c>
      <c r="G601" s="8161" t="s">
        <v>24</v>
      </c>
      <c r="H601" s="8161" t="s">
        <v>24</v>
      </c>
      <c r="I601" s="8161" t="s">
        <v>929</v>
      </c>
    </row>
    <row customHeight="1" ht="11.25">
      <c r="A602" s="8161" t="s">
        <v>2279</v>
      </c>
      <c r="B602" s="8161" t="s">
        <v>14</v>
      </c>
      <c r="C602" s="8161" t="s">
        <v>3332</v>
      </c>
      <c r="D602" s="8161" t="s">
        <v>3333</v>
      </c>
      <c r="E602" s="8161" t="s">
        <v>3334</v>
      </c>
      <c r="F602" s="8161" t="s">
        <v>2418</v>
      </c>
      <c r="G602" s="8161" t="s">
        <v>24</v>
      </c>
      <c r="H602" s="8161" t="s">
        <v>3134</v>
      </c>
      <c r="I602" s="8161" t="s">
        <v>929</v>
      </c>
    </row>
    <row customHeight="1" ht="11.25">
      <c r="A603" s="8161" t="s">
        <v>2279</v>
      </c>
      <c r="B603" s="8161" t="s">
        <v>14</v>
      </c>
      <c r="C603" s="8161" t="s">
        <v>3335</v>
      </c>
      <c r="D603" s="8161" t="s">
        <v>3336</v>
      </c>
      <c r="E603" s="8161" t="s">
        <v>3337</v>
      </c>
      <c r="F603" s="8161" t="s">
        <v>2296</v>
      </c>
      <c r="G603" s="8161" t="s">
        <v>24</v>
      </c>
      <c r="H603" s="8161" t="s">
        <v>24</v>
      </c>
      <c r="I603" s="8161" t="s">
        <v>929</v>
      </c>
    </row>
    <row customHeight="1" ht="11.25">
      <c r="A604" s="8161" t="s">
        <v>2279</v>
      </c>
      <c r="B604" s="8161" t="s">
        <v>14</v>
      </c>
      <c r="C604" s="8161" t="s">
        <v>2771</v>
      </c>
      <c r="D604" s="8161" t="s">
        <v>2772</v>
      </c>
      <c r="E604" s="8161" t="s">
        <v>2773</v>
      </c>
      <c r="F604" s="8161" t="s">
        <v>2315</v>
      </c>
      <c r="G604" s="8161" t="s">
        <v>24</v>
      </c>
      <c r="H604" s="8161" t="s">
        <v>24</v>
      </c>
      <c r="I604" s="8161" t="s">
        <v>929</v>
      </c>
    </row>
    <row customHeight="1" ht="11.25">
      <c r="A605" s="8161" t="s">
        <v>2279</v>
      </c>
      <c r="B605" s="8161" t="s">
        <v>14</v>
      </c>
      <c r="C605" s="8161" t="s">
        <v>2782</v>
      </c>
      <c r="D605" s="8161" t="s">
        <v>2783</v>
      </c>
      <c r="E605" s="8161" t="s">
        <v>2784</v>
      </c>
      <c r="F605" s="8161" t="s">
        <v>2740</v>
      </c>
      <c r="G605" s="8161" t="s">
        <v>2785</v>
      </c>
      <c r="H605" s="8161" t="s">
        <v>24</v>
      </c>
      <c r="I605" s="8161" t="s">
        <v>929</v>
      </c>
    </row>
    <row customHeight="1" ht="11.25">
      <c r="A606" s="8161" t="s">
        <v>2279</v>
      </c>
      <c r="B606" s="8161" t="s">
        <v>14</v>
      </c>
      <c r="C606" s="8161" t="s">
        <v>2786</v>
      </c>
      <c r="D606" s="8161" t="s">
        <v>2787</v>
      </c>
      <c r="E606" s="8161" t="s">
        <v>2788</v>
      </c>
      <c r="F606" s="8161" t="s">
        <v>2291</v>
      </c>
      <c r="G606" s="8161" t="s">
        <v>2789</v>
      </c>
      <c r="H606" s="8161" t="s">
        <v>24</v>
      </c>
      <c r="I606" s="8161" t="s">
        <v>929</v>
      </c>
    </row>
    <row customHeight="1" ht="11.25">
      <c r="A607" s="8161" t="s">
        <v>2279</v>
      </c>
      <c r="B607" s="8161" t="s">
        <v>14</v>
      </c>
      <c r="C607" s="8161" t="s">
        <v>3344</v>
      </c>
      <c r="D607" s="8161" t="s">
        <v>3345</v>
      </c>
      <c r="E607" s="8161" t="s">
        <v>3346</v>
      </c>
      <c r="F607" s="8161" t="s">
        <v>3037</v>
      </c>
      <c r="G607" s="8161" t="s">
        <v>24</v>
      </c>
      <c r="H607" s="8161" t="s">
        <v>24</v>
      </c>
      <c r="I607" s="8161" t="s">
        <v>929</v>
      </c>
    </row>
    <row customHeight="1" ht="11.25">
      <c r="A608" s="8161" t="s">
        <v>2279</v>
      </c>
      <c r="B608" s="8161" t="s">
        <v>14</v>
      </c>
      <c r="C608" s="8161" t="s">
        <v>3347</v>
      </c>
      <c r="D608" s="8161" t="s">
        <v>3348</v>
      </c>
      <c r="E608" s="8161" t="s">
        <v>3349</v>
      </c>
      <c r="F608" s="8161" t="s">
        <v>2438</v>
      </c>
      <c r="G608" s="8161" t="s">
        <v>24</v>
      </c>
      <c r="H608" s="8161" t="s">
        <v>24</v>
      </c>
      <c r="I608" s="8161" t="s">
        <v>929</v>
      </c>
    </row>
    <row customHeight="1" ht="11.25">
      <c r="A609" s="8161" t="s">
        <v>2279</v>
      </c>
      <c r="B609" s="8161" t="s">
        <v>14</v>
      </c>
      <c r="C609" s="8161" t="s">
        <v>3350</v>
      </c>
      <c r="D609" s="8161" t="s">
        <v>3351</v>
      </c>
      <c r="E609" s="8161" t="s">
        <v>3352</v>
      </c>
      <c r="F609" s="8161" t="s">
        <v>2283</v>
      </c>
      <c r="G609" s="8161" t="s">
        <v>24</v>
      </c>
      <c r="H609" s="8161" t="s">
        <v>2457</v>
      </c>
      <c r="I609" s="8161" t="s">
        <v>929</v>
      </c>
    </row>
    <row customHeight="1" ht="11.25">
      <c r="A610" s="8161" t="s">
        <v>2279</v>
      </c>
      <c r="B610" s="8161" t="s">
        <v>14</v>
      </c>
      <c r="C610" s="8161" t="s">
        <v>3353</v>
      </c>
      <c r="D610" s="8161" t="s">
        <v>3354</v>
      </c>
      <c r="E610" s="8161" t="s">
        <v>3355</v>
      </c>
      <c r="F610" s="8161" t="s">
        <v>2283</v>
      </c>
      <c r="G610" s="8161" t="s">
        <v>24</v>
      </c>
      <c r="H610" s="8161" t="s">
        <v>3356</v>
      </c>
      <c r="I610" s="8161" t="s">
        <v>929</v>
      </c>
    </row>
    <row customHeight="1" ht="11.25">
      <c r="A611" s="8161" t="s">
        <v>2279</v>
      </c>
      <c r="B611" s="8161" t="s">
        <v>14</v>
      </c>
      <c r="C611" s="8161" t="s">
        <v>2808</v>
      </c>
      <c r="D611" s="8161" t="s">
        <v>2809</v>
      </c>
      <c r="E611" s="8161" t="s">
        <v>2810</v>
      </c>
      <c r="F611" s="8161" t="s">
        <v>2448</v>
      </c>
      <c r="G611" s="8161" t="s">
        <v>24</v>
      </c>
      <c r="H611" s="8161" t="s">
        <v>24</v>
      </c>
      <c r="I611" s="8161" t="s">
        <v>929</v>
      </c>
    </row>
    <row customHeight="1" ht="11.25">
      <c r="A612" s="8161" t="s">
        <v>2279</v>
      </c>
      <c r="B612" s="8161" t="s">
        <v>14</v>
      </c>
      <c r="C612" s="8161" t="s">
        <v>2811</v>
      </c>
      <c r="D612" s="8161" t="s">
        <v>2812</v>
      </c>
      <c r="E612" s="8161" t="s">
        <v>2813</v>
      </c>
      <c r="F612" s="8161" t="s">
        <v>2814</v>
      </c>
      <c r="G612" s="8161" t="s">
        <v>2815</v>
      </c>
      <c r="H612" s="8161" t="s">
        <v>24</v>
      </c>
      <c r="I612" s="8161" t="s">
        <v>929</v>
      </c>
    </row>
    <row customHeight="1" ht="11.25">
      <c r="A613" s="8161" t="s">
        <v>2279</v>
      </c>
      <c r="B613" s="8161" t="s">
        <v>14</v>
      </c>
      <c r="C613" s="8161" t="s">
        <v>2816</v>
      </c>
      <c r="D613" s="8161" t="s">
        <v>2817</v>
      </c>
      <c r="E613" s="8161" t="s">
        <v>2818</v>
      </c>
      <c r="F613" s="8161" t="s">
        <v>2448</v>
      </c>
      <c r="G613" s="8161" t="s">
        <v>24</v>
      </c>
      <c r="H613" s="8161" t="s">
        <v>24</v>
      </c>
      <c r="I613" s="8161" t="s">
        <v>929</v>
      </c>
    </row>
    <row customHeight="1" ht="11.25">
      <c r="A614" s="8161" t="s">
        <v>2279</v>
      </c>
      <c r="B614" s="8161" t="s">
        <v>14</v>
      </c>
      <c r="C614" s="8161" t="s">
        <v>2819</v>
      </c>
      <c r="D614" s="8161" t="s">
        <v>2820</v>
      </c>
      <c r="E614" s="8161" t="s">
        <v>2821</v>
      </c>
      <c r="F614" s="8161" t="s">
        <v>2339</v>
      </c>
      <c r="G614" s="8161" t="s">
        <v>24</v>
      </c>
      <c r="H614" s="8161" t="s">
        <v>2822</v>
      </c>
      <c r="I614" s="8161" t="s">
        <v>929</v>
      </c>
    </row>
    <row customHeight="1" ht="11.25">
      <c r="A615" s="8161" t="s">
        <v>2279</v>
      </c>
      <c r="B615" s="8161" t="s">
        <v>14</v>
      </c>
      <c r="C615" s="8161" t="s">
        <v>2826</v>
      </c>
      <c r="D615" s="8161" t="s">
        <v>2827</v>
      </c>
      <c r="E615" s="8161" t="s">
        <v>2828</v>
      </c>
      <c r="F615" s="8161" t="s">
        <v>2438</v>
      </c>
      <c r="G615" s="8161" t="s">
        <v>24</v>
      </c>
      <c r="H615" s="8161" t="s">
        <v>24</v>
      </c>
      <c r="I615" s="8161" t="s">
        <v>929</v>
      </c>
    </row>
    <row customHeight="1" ht="11.25">
      <c r="A616" s="8161" t="s">
        <v>2279</v>
      </c>
      <c r="B616" s="8161" t="s">
        <v>14</v>
      </c>
      <c r="C616" s="8161" t="s">
        <v>3357</v>
      </c>
      <c r="D616" s="8161" t="s">
        <v>3358</v>
      </c>
      <c r="E616" s="8161" t="s">
        <v>3359</v>
      </c>
      <c r="F616" s="8161" t="s">
        <v>2987</v>
      </c>
      <c r="G616" s="8161" t="s">
        <v>24</v>
      </c>
      <c r="H616" s="8161" t="s">
        <v>24</v>
      </c>
      <c r="I616" s="8161" t="s">
        <v>929</v>
      </c>
    </row>
    <row customHeight="1" ht="11.25">
      <c r="A617" s="8161" t="s">
        <v>2279</v>
      </c>
      <c r="B617" s="8161" t="s">
        <v>14</v>
      </c>
      <c r="C617" s="8161" t="s">
        <v>3360</v>
      </c>
      <c r="D617" s="8161" t="s">
        <v>3361</v>
      </c>
      <c r="E617" s="8161" t="s">
        <v>3362</v>
      </c>
      <c r="F617" s="8161" t="s">
        <v>2987</v>
      </c>
      <c r="G617" s="8161" t="s">
        <v>24</v>
      </c>
      <c r="H617" s="8161" t="s">
        <v>24</v>
      </c>
      <c r="I617" s="8161" t="s">
        <v>929</v>
      </c>
    </row>
    <row customHeight="1" ht="11.25">
      <c r="A618" s="8161" t="s">
        <v>2279</v>
      </c>
      <c r="B618" s="8161" t="s">
        <v>14</v>
      </c>
      <c r="C618" s="8161" t="s">
        <v>3363</v>
      </c>
      <c r="D618" s="8161" t="s">
        <v>3364</v>
      </c>
      <c r="E618" s="8161" t="s">
        <v>3365</v>
      </c>
      <c r="F618" s="8161" t="s">
        <v>2283</v>
      </c>
      <c r="G618" s="8161" t="s">
        <v>24</v>
      </c>
      <c r="H618" s="8161" t="s">
        <v>24</v>
      </c>
      <c r="I618" s="8161" t="s">
        <v>929</v>
      </c>
    </row>
    <row customHeight="1" ht="11.25">
      <c r="A619" s="8161" t="s">
        <v>2279</v>
      </c>
      <c r="B619" s="8161" t="s">
        <v>14</v>
      </c>
      <c r="C619" s="8161" t="s">
        <v>2839</v>
      </c>
      <c r="D619" s="8161" t="s">
        <v>2840</v>
      </c>
      <c r="E619" s="8161" t="s">
        <v>2841</v>
      </c>
      <c r="F619" s="8161" t="s">
        <v>2300</v>
      </c>
      <c r="G619" s="8161" t="s">
        <v>24</v>
      </c>
      <c r="H619" s="8161" t="s">
        <v>24</v>
      </c>
      <c r="I619" s="8161" t="s">
        <v>929</v>
      </c>
    </row>
    <row customHeight="1" ht="11.25">
      <c r="A620" s="8161" t="s">
        <v>2279</v>
      </c>
      <c r="B620" s="8161" t="s">
        <v>14</v>
      </c>
      <c r="C620" s="8161" t="s">
        <v>2842</v>
      </c>
      <c r="D620" s="8161" t="s">
        <v>2843</v>
      </c>
      <c r="E620" s="8161" t="s">
        <v>2844</v>
      </c>
      <c r="F620" s="8161" t="s">
        <v>2468</v>
      </c>
      <c r="G620" s="8161" t="s">
        <v>24</v>
      </c>
      <c r="H620" s="8161" t="s">
        <v>24</v>
      </c>
      <c r="I620" s="8161" t="s">
        <v>929</v>
      </c>
    </row>
    <row customHeight="1" ht="11.25">
      <c r="A621" s="8161" t="s">
        <v>2279</v>
      </c>
      <c r="B621" s="8161" t="s">
        <v>14</v>
      </c>
      <c r="C621" s="8161" t="s">
        <v>3372</v>
      </c>
      <c r="D621" s="8161" t="s">
        <v>3373</v>
      </c>
      <c r="E621" s="8161" t="s">
        <v>2685</v>
      </c>
      <c r="F621" s="8161" t="s">
        <v>2335</v>
      </c>
      <c r="G621" s="8161" t="s">
        <v>24</v>
      </c>
      <c r="H621" s="8161" t="s">
        <v>3374</v>
      </c>
      <c r="I621" s="8161" t="s">
        <v>929</v>
      </c>
    </row>
    <row customHeight="1" ht="11.25">
      <c r="A622" s="8161" t="s">
        <v>2279</v>
      </c>
      <c r="B622" s="8161" t="s">
        <v>14</v>
      </c>
      <c r="C622" s="8161" t="s">
        <v>3375</v>
      </c>
      <c r="D622" s="8161" t="s">
        <v>3376</v>
      </c>
      <c r="E622" s="8161" t="s">
        <v>2685</v>
      </c>
      <c r="F622" s="8161" t="s">
        <v>3377</v>
      </c>
      <c r="G622" s="8161" t="s">
        <v>24</v>
      </c>
      <c r="H622" s="8161" t="s">
        <v>3374</v>
      </c>
      <c r="I622" s="8161" t="s">
        <v>929</v>
      </c>
    </row>
    <row customHeight="1" ht="11.25">
      <c r="A623" s="8161" t="s">
        <v>2279</v>
      </c>
      <c r="B623" s="8161" t="s">
        <v>14</v>
      </c>
      <c r="C623" s="8161" t="s">
        <v>3381</v>
      </c>
      <c r="D623" s="8161" t="s">
        <v>3382</v>
      </c>
      <c r="E623" s="8161" t="s">
        <v>3383</v>
      </c>
      <c r="F623" s="8161" t="s">
        <v>3094</v>
      </c>
      <c r="G623" s="8161" t="s">
        <v>3384</v>
      </c>
      <c r="H623" s="8161" t="s">
        <v>24</v>
      </c>
      <c r="I623" s="8161" t="s">
        <v>929</v>
      </c>
    </row>
    <row customHeight="1" ht="11.25">
      <c r="A624" s="8161" t="s">
        <v>2279</v>
      </c>
      <c r="B624" s="8161" t="s">
        <v>14</v>
      </c>
      <c r="C624" s="8161" t="s">
        <v>3385</v>
      </c>
      <c r="D624" s="8161" t="s">
        <v>3386</v>
      </c>
      <c r="E624" s="8161" t="s">
        <v>3387</v>
      </c>
      <c r="F624" s="8161" t="s">
        <v>2404</v>
      </c>
      <c r="G624" s="8161" t="s">
        <v>24</v>
      </c>
      <c r="H624" s="8161" t="s">
        <v>24</v>
      </c>
      <c r="I624" s="8161" t="s">
        <v>929</v>
      </c>
    </row>
    <row customHeight="1" ht="11.25">
      <c r="A625" s="8161" t="s">
        <v>2279</v>
      </c>
      <c r="B625" s="8161" t="s">
        <v>14</v>
      </c>
      <c r="C625" s="8161" t="s">
        <v>3388</v>
      </c>
      <c r="D625" s="8161" t="s">
        <v>3389</v>
      </c>
      <c r="E625" s="8161" t="s">
        <v>3390</v>
      </c>
      <c r="F625" s="8161" t="s">
        <v>2480</v>
      </c>
      <c r="G625" s="8161" t="s">
        <v>24</v>
      </c>
      <c r="H625" s="8161" t="s">
        <v>3391</v>
      </c>
      <c r="I625" s="8161" t="s">
        <v>929</v>
      </c>
    </row>
    <row customHeight="1" ht="11.25">
      <c r="A626" s="8161" t="s">
        <v>2279</v>
      </c>
      <c r="B626" s="8161" t="s">
        <v>14</v>
      </c>
      <c r="C626" s="8161" t="s">
        <v>3392</v>
      </c>
      <c r="D626" s="8161" t="s">
        <v>3393</v>
      </c>
      <c r="E626" s="8161" t="s">
        <v>3394</v>
      </c>
      <c r="F626" s="8161" t="s">
        <v>2367</v>
      </c>
      <c r="G626" s="8161" t="s">
        <v>24</v>
      </c>
      <c r="H626" s="8161" t="s">
        <v>3395</v>
      </c>
      <c r="I626" s="8161" t="s">
        <v>929</v>
      </c>
    </row>
    <row customHeight="1" ht="11.25">
      <c r="A627" s="8161" t="s">
        <v>2279</v>
      </c>
      <c r="B627" s="8161" t="s">
        <v>14</v>
      </c>
      <c r="C627" s="8161" t="s">
        <v>3396</v>
      </c>
      <c r="D627" s="8161" t="s">
        <v>3397</v>
      </c>
      <c r="E627" s="8161" t="s">
        <v>3398</v>
      </c>
      <c r="F627" s="8161" t="s">
        <v>2873</v>
      </c>
      <c r="G627" s="8161" t="s">
        <v>24</v>
      </c>
      <c r="H627" s="8161" t="s">
        <v>3134</v>
      </c>
      <c r="I627" s="8161" t="s">
        <v>929</v>
      </c>
    </row>
    <row customHeight="1" ht="11.25">
      <c r="A628" s="8161" t="s">
        <v>2279</v>
      </c>
      <c r="B628" s="8161" t="s">
        <v>14</v>
      </c>
      <c r="C628" s="8161" t="s">
        <v>3402</v>
      </c>
      <c r="D628" s="8161" t="s">
        <v>3403</v>
      </c>
      <c r="E628" s="8161" t="s">
        <v>3404</v>
      </c>
      <c r="F628" s="8161" t="s">
        <v>2283</v>
      </c>
      <c r="G628" s="8161" t="s">
        <v>24</v>
      </c>
      <c r="H628" s="8161" t="s">
        <v>3405</v>
      </c>
      <c r="I628" s="8161" t="s">
        <v>929</v>
      </c>
    </row>
    <row customHeight="1" ht="11.25">
      <c r="A629" s="8161" t="s">
        <v>2279</v>
      </c>
      <c r="B629" s="8161" t="s">
        <v>14</v>
      </c>
      <c r="C629" s="8161" t="s">
        <v>3406</v>
      </c>
      <c r="D629" s="8161" t="s">
        <v>3407</v>
      </c>
      <c r="E629" s="8161" t="s">
        <v>3408</v>
      </c>
      <c r="F629" s="8161" t="s">
        <v>2283</v>
      </c>
      <c r="G629" s="8161" t="s">
        <v>24</v>
      </c>
      <c r="H629" s="8161" t="s">
        <v>3409</v>
      </c>
      <c r="I629" s="8161" t="s">
        <v>929</v>
      </c>
    </row>
    <row customHeight="1" ht="11.25">
      <c r="A630" s="8161" t="s">
        <v>2279</v>
      </c>
      <c r="B630" s="8161" t="s">
        <v>14</v>
      </c>
      <c r="C630" s="8161" t="s">
        <v>3410</v>
      </c>
      <c r="D630" s="8161" t="s">
        <v>3411</v>
      </c>
      <c r="E630" s="8161" t="s">
        <v>3412</v>
      </c>
      <c r="F630" s="8161" t="s">
        <v>2430</v>
      </c>
      <c r="G630" s="8161" t="s">
        <v>24</v>
      </c>
      <c r="H630" s="8161" t="s">
        <v>24</v>
      </c>
      <c r="I630" s="8161" t="s">
        <v>929</v>
      </c>
    </row>
    <row customHeight="1" ht="11.25">
      <c r="A631" s="8161" t="s">
        <v>2279</v>
      </c>
      <c r="B631" s="8161" t="s">
        <v>14</v>
      </c>
      <c r="C631" s="8161" t="s">
        <v>3413</v>
      </c>
      <c r="D631" s="8161" t="s">
        <v>3414</v>
      </c>
      <c r="E631" s="8161" t="s">
        <v>3415</v>
      </c>
      <c r="F631" s="8161" t="s">
        <v>2296</v>
      </c>
      <c r="G631" s="8161" t="s">
        <v>24</v>
      </c>
      <c r="H631" s="8161" t="s">
        <v>3416</v>
      </c>
      <c r="I631" s="8161" t="s">
        <v>929</v>
      </c>
    </row>
    <row customHeight="1" ht="11.25">
      <c r="A632" s="8161" t="s">
        <v>2279</v>
      </c>
      <c r="B632" s="8161" t="s">
        <v>14</v>
      </c>
      <c r="C632" s="8161" t="s">
        <v>3423</v>
      </c>
      <c r="D632" s="8161" t="s">
        <v>3424</v>
      </c>
      <c r="E632" s="8161" t="s">
        <v>3425</v>
      </c>
      <c r="F632" s="8161" t="s">
        <v>2480</v>
      </c>
      <c r="G632" s="8161" t="s">
        <v>24</v>
      </c>
      <c r="H632" s="8161" t="s">
        <v>3134</v>
      </c>
      <c r="I632" s="8161" t="s">
        <v>929</v>
      </c>
    </row>
    <row customHeight="1" ht="11.25">
      <c r="A633" s="8161" t="s">
        <v>2279</v>
      </c>
      <c r="B633" s="8161" t="s">
        <v>14</v>
      </c>
      <c r="C633" s="8161" t="s">
        <v>3426</v>
      </c>
      <c r="D633" s="8161" t="s">
        <v>3427</v>
      </c>
      <c r="E633" s="8161" t="s">
        <v>3428</v>
      </c>
      <c r="F633" s="8161" t="s">
        <v>2283</v>
      </c>
      <c r="G633" s="8161" t="s">
        <v>24</v>
      </c>
      <c r="H633" s="8161" t="s">
        <v>3134</v>
      </c>
      <c r="I633" s="8161" t="s">
        <v>929</v>
      </c>
    </row>
    <row customHeight="1" ht="11.25">
      <c r="A634" s="8161" t="s">
        <v>2279</v>
      </c>
      <c r="B634" s="8161" t="s">
        <v>14</v>
      </c>
      <c r="C634" s="8161" t="s">
        <v>3429</v>
      </c>
      <c r="D634" s="8161" t="s">
        <v>3430</v>
      </c>
      <c r="E634" s="8161" t="s">
        <v>3431</v>
      </c>
      <c r="F634" s="8161" t="s">
        <v>2987</v>
      </c>
      <c r="G634" s="8161" t="s">
        <v>3432</v>
      </c>
      <c r="H634" s="8161" t="s">
        <v>24</v>
      </c>
      <c r="I634" s="8161" t="s">
        <v>929</v>
      </c>
    </row>
    <row customHeight="1" ht="11.25">
      <c r="A635" s="8161" t="s">
        <v>2279</v>
      </c>
      <c r="B635" s="8161" t="s">
        <v>14</v>
      </c>
      <c r="C635" s="8161" t="s">
        <v>3433</v>
      </c>
      <c r="D635" s="8161" t="s">
        <v>3434</v>
      </c>
      <c r="E635" s="8161" t="s">
        <v>3412</v>
      </c>
      <c r="F635" s="8161" t="s">
        <v>2430</v>
      </c>
      <c r="G635" s="8161" t="s">
        <v>24</v>
      </c>
      <c r="H635" s="8161" t="s">
        <v>2485</v>
      </c>
      <c r="I635" s="8161" t="s">
        <v>929</v>
      </c>
    </row>
    <row customHeight="1" ht="11.25">
      <c r="A636" s="8161" t="s">
        <v>2279</v>
      </c>
      <c r="B636" s="8161" t="s">
        <v>14</v>
      </c>
      <c r="C636" s="8161" t="s">
        <v>3435</v>
      </c>
      <c r="D636" s="8161" t="s">
        <v>3436</v>
      </c>
      <c r="E636" s="8161" t="s">
        <v>3437</v>
      </c>
      <c r="F636" s="8161" t="s">
        <v>2359</v>
      </c>
      <c r="G636" s="8161" t="s">
        <v>24</v>
      </c>
      <c r="H636" s="8161" t="s">
        <v>3134</v>
      </c>
      <c r="I636" s="8161" t="s">
        <v>929</v>
      </c>
    </row>
    <row customHeight="1" ht="11.25">
      <c r="A637" s="8161" t="s">
        <v>2279</v>
      </c>
      <c r="B637" s="8161" t="s">
        <v>14</v>
      </c>
      <c r="C637" s="8161" t="s">
        <v>3438</v>
      </c>
      <c r="D637" s="8161" t="s">
        <v>3439</v>
      </c>
      <c r="E637" s="8161" t="s">
        <v>3440</v>
      </c>
      <c r="F637" s="8161" t="s">
        <v>2359</v>
      </c>
      <c r="G637" s="8161" t="s">
        <v>24</v>
      </c>
      <c r="H637" s="8161" t="s">
        <v>24</v>
      </c>
      <c r="I637" s="8161" t="s">
        <v>929</v>
      </c>
    </row>
    <row customHeight="1" ht="11.25">
      <c r="A638" s="8161" t="s">
        <v>2279</v>
      </c>
      <c r="B638" s="8161" t="s">
        <v>14</v>
      </c>
      <c r="C638" s="8161" t="s">
        <v>2874</v>
      </c>
      <c r="D638" s="8161" t="s">
        <v>2875</v>
      </c>
      <c r="E638" s="8161" t="s">
        <v>2876</v>
      </c>
      <c r="F638" s="8161" t="s">
        <v>2283</v>
      </c>
      <c r="G638" s="8161" t="s">
        <v>24</v>
      </c>
      <c r="H638" s="8161" t="s">
        <v>24</v>
      </c>
      <c r="I638" s="8161" t="s">
        <v>929</v>
      </c>
    </row>
    <row customHeight="1" ht="11.25">
      <c r="A639" s="8161" t="s">
        <v>2279</v>
      </c>
      <c r="B639" s="8161" t="s">
        <v>14</v>
      </c>
      <c r="C639" s="8161" t="s">
        <v>24</v>
      </c>
      <c r="D639" s="8161" t="s">
        <v>2285</v>
      </c>
      <c r="E639" s="8161" t="s">
        <v>2286</v>
      </c>
      <c r="F639" s="8161" t="s">
        <v>2287</v>
      </c>
      <c r="G639" s="8161" t="s">
        <v>24</v>
      </c>
      <c r="H639" s="8161" t="s">
        <v>24</v>
      </c>
      <c r="I639" s="8161" t="s">
        <v>1644</v>
      </c>
    </row>
    <row customHeight="1" ht="11.25">
      <c r="A640" s="8161" t="s">
        <v>2279</v>
      </c>
      <c r="B640" s="8161" t="s">
        <v>14</v>
      </c>
      <c r="C640" s="8161" t="s">
        <v>3481</v>
      </c>
      <c r="D640" s="8161" t="s">
        <v>3482</v>
      </c>
      <c r="E640" s="8161" t="s">
        <v>3483</v>
      </c>
      <c r="F640" s="8161" t="s">
        <v>681</v>
      </c>
      <c r="G640" s="8161" t="s">
        <v>3484</v>
      </c>
      <c r="H640" s="8161" t="s">
        <v>24</v>
      </c>
      <c r="I640" s="8161" t="s">
        <v>1644</v>
      </c>
    </row>
    <row customHeight="1" ht="11.25">
      <c r="A641" s="8161" t="s">
        <v>2279</v>
      </c>
      <c r="B641" s="8161" t="s">
        <v>14</v>
      </c>
      <c r="C641" s="8161" t="s">
        <v>2450</v>
      </c>
      <c r="D641" s="8161" t="s">
        <v>2451</v>
      </c>
      <c r="E641" s="8161" t="s">
        <v>2452</v>
      </c>
      <c r="F641" s="8161" t="s">
        <v>48</v>
      </c>
      <c r="G641" s="8161" t="s">
        <v>24</v>
      </c>
      <c r="H641" s="8161" t="s">
        <v>24</v>
      </c>
      <c r="I641" s="8161" t="s">
        <v>1644</v>
      </c>
    </row>
    <row customHeight="1" ht="11.25">
      <c r="A642" s="8161" t="s">
        <v>2279</v>
      </c>
      <c r="B642" s="8161" t="s">
        <v>14</v>
      </c>
      <c r="C642" s="8161" t="s">
        <v>2953</v>
      </c>
      <c r="D642" s="8161" t="s">
        <v>2954</v>
      </c>
      <c r="E642" s="8161" t="s">
        <v>2955</v>
      </c>
      <c r="F642" s="8161" t="s">
        <v>2560</v>
      </c>
      <c r="G642" s="8161" t="s">
        <v>24</v>
      </c>
      <c r="H642" s="8161" t="s">
        <v>24</v>
      </c>
      <c r="I642" s="8161" t="s">
        <v>1644</v>
      </c>
    </row>
    <row customHeight="1" ht="11.25">
      <c r="A643" s="8161" t="s">
        <v>2279</v>
      </c>
      <c r="B643" s="8161" t="s">
        <v>14</v>
      </c>
      <c r="C643" s="8161" t="s">
        <v>3485</v>
      </c>
      <c r="D643" s="8161" t="s">
        <v>3486</v>
      </c>
      <c r="E643" s="8161" t="s">
        <v>3487</v>
      </c>
      <c r="F643" s="8161" t="s">
        <v>2599</v>
      </c>
      <c r="G643" s="8161" t="s">
        <v>3488</v>
      </c>
      <c r="H643" s="8161" t="s">
        <v>24</v>
      </c>
      <c r="I643" s="8161" t="s">
        <v>1644</v>
      </c>
    </row>
    <row customHeight="1" ht="11.25">
      <c r="A644" s="8161" t="s">
        <v>2279</v>
      </c>
      <c r="B644" s="8161" t="s">
        <v>14</v>
      </c>
      <c r="C644" s="8161" t="s">
        <v>2474</v>
      </c>
      <c r="D644" s="8161" t="s">
        <v>2475</v>
      </c>
      <c r="E644" s="8161" t="s">
        <v>2476</v>
      </c>
      <c r="F644" s="8161" t="s">
        <v>2283</v>
      </c>
      <c r="G644" s="8161" t="s">
        <v>24</v>
      </c>
      <c r="H644" s="8161" t="s">
        <v>24</v>
      </c>
      <c r="I644" s="8161" t="s">
        <v>1644</v>
      </c>
    </row>
    <row customHeight="1" ht="11.25">
      <c r="A645" s="8161" t="s">
        <v>2279</v>
      </c>
      <c r="B645" s="8161" t="s">
        <v>14</v>
      </c>
      <c r="C645" s="8161" t="s">
        <v>3489</v>
      </c>
      <c r="D645" s="8161" t="s">
        <v>3490</v>
      </c>
      <c r="E645" s="8161" t="s">
        <v>3491</v>
      </c>
      <c r="F645" s="8161" t="s">
        <v>2430</v>
      </c>
      <c r="G645" s="8161" t="s">
        <v>24</v>
      </c>
      <c r="H645" s="8161" t="s">
        <v>24</v>
      </c>
      <c r="I645" s="8161" t="s">
        <v>1644</v>
      </c>
    </row>
    <row customHeight="1" ht="11.25">
      <c r="A646" s="8161" t="s">
        <v>2279</v>
      </c>
      <c r="B646" s="8161" t="s">
        <v>14</v>
      </c>
      <c r="C646" s="8161" t="s">
        <v>2486</v>
      </c>
      <c r="D646" s="8161" t="s">
        <v>2482</v>
      </c>
      <c r="E646" s="8161" t="s">
        <v>2483</v>
      </c>
      <c r="F646" s="8161" t="s">
        <v>2484</v>
      </c>
      <c r="G646" s="8161" t="s">
        <v>24</v>
      </c>
      <c r="H646" s="8161" t="s">
        <v>24</v>
      </c>
      <c r="I646" s="8161" t="s">
        <v>1644</v>
      </c>
    </row>
    <row customHeight="1" ht="11.25">
      <c r="A647" s="8161" t="s">
        <v>2279</v>
      </c>
      <c r="B647" s="8161" t="s">
        <v>14</v>
      </c>
      <c r="C647" s="8161" t="s">
        <v>2487</v>
      </c>
      <c r="D647" s="8161" t="s">
        <v>2488</v>
      </c>
      <c r="E647" s="8161" t="s">
        <v>2489</v>
      </c>
      <c r="F647" s="8161" t="s">
        <v>2484</v>
      </c>
      <c r="G647" s="8161" t="s">
        <v>24</v>
      </c>
      <c r="H647" s="8161" t="s">
        <v>24</v>
      </c>
      <c r="I647" s="8161" t="s">
        <v>1644</v>
      </c>
    </row>
    <row customHeight="1" ht="11.25">
      <c r="A648" s="8161" t="s">
        <v>2279</v>
      </c>
      <c r="B648" s="8161" t="s">
        <v>14</v>
      </c>
      <c r="C648" s="8161" t="s">
        <v>3492</v>
      </c>
      <c r="D648" s="8161" t="s">
        <v>3493</v>
      </c>
      <c r="E648" s="8161" t="s">
        <v>3494</v>
      </c>
      <c r="F648" s="8161" t="s">
        <v>2493</v>
      </c>
      <c r="G648" s="8161" t="s">
        <v>3495</v>
      </c>
      <c r="H648" s="8161" t="s">
        <v>24</v>
      </c>
      <c r="I648" s="8161" t="s">
        <v>1644</v>
      </c>
    </row>
    <row customHeight="1" ht="11.25">
      <c r="A649" s="8161" t="s">
        <v>2279</v>
      </c>
      <c r="B649" s="8161" t="s">
        <v>14</v>
      </c>
      <c r="C649" s="8161" t="s">
        <v>3496</v>
      </c>
      <c r="D649" s="8161" t="s">
        <v>3497</v>
      </c>
      <c r="E649" s="8161" t="s">
        <v>3498</v>
      </c>
      <c r="F649" s="8161" t="s">
        <v>2473</v>
      </c>
      <c r="G649" s="8161" t="s">
        <v>24</v>
      </c>
      <c r="H649" s="8161" t="s">
        <v>24</v>
      </c>
      <c r="I649" s="8161" t="s">
        <v>1644</v>
      </c>
    </row>
    <row customHeight="1" ht="11.25">
      <c r="A650" s="8161" t="s">
        <v>2279</v>
      </c>
      <c r="B650" s="8161" t="s">
        <v>14</v>
      </c>
      <c r="C650" s="8161" t="s">
        <v>3499</v>
      </c>
      <c r="D650" s="8161" t="s">
        <v>3500</v>
      </c>
      <c r="E650" s="8161" t="s">
        <v>3501</v>
      </c>
      <c r="F650" s="8161" t="s">
        <v>2339</v>
      </c>
      <c r="G650" s="8161" t="s">
        <v>24</v>
      </c>
      <c r="H650" s="8161" t="s">
        <v>24</v>
      </c>
      <c r="I650" s="8161" t="s">
        <v>1644</v>
      </c>
    </row>
    <row customHeight="1" ht="11.25">
      <c r="A651" s="8161" t="s">
        <v>2279</v>
      </c>
      <c r="B651" s="8161" t="s">
        <v>14</v>
      </c>
      <c r="C651" s="8161" t="s">
        <v>3502</v>
      </c>
      <c r="D651" s="8161" t="s">
        <v>3503</v>
      </c>
      <c r="E651" s="8161" t="s">
        <v>3504</v>
      </c>
      <c r="F651" s="8161" t="s">
        <v>2287</v>
      </c>
      <c r="G651" s="8161" t="s">
        <v>3505</v>
      </c>
      <c r="H651" s="8161" t="s">
        <v>24</v>
      </c>
      <c r="I651" s="8161" t="s">
        <v>1644</v>
      </c>
    </row>
    <row customHeight="1" ht="11.25">
      <c r="A652" s="8161" t="s">
        <v>2279</v>
      </c>
      <c r="B652" s="8161" t="s">
        <v>14</v>
      </c>
      <c r="C652" s="8161" t="s">
        <v>3506</v>
      </c>
      <c r="D652" s="8161" t="s">
        <v>3507</v>
      </c>
      <c r="E652" s="8161" t="s">
        <v>3508</v>
      </c>
      <c r="F652" s="8161" t="s">
        <v>2516</v>
      </c>
      <c r="G652" s="8161" t="s">
        <v>3509</v>
      </c>
      <c r="H652" s="8161" t="s">
        <v>24</v>
      </c>
      <c r="I652" s="8161" t="s">
        <v>1644</v>
      </c>
    </row>
    <row customHeight="1" ht="11.25">
      <c r="A653" s="8161" t="s">
        <v>2279</v>
      </c>
      <c r="B653" s="8161" t="s">
        <v>14</v>
      </c>
      <c r="C653" s="8161" t="s">
        <v>3510</v>
      </c>
      <c r="D653" s="8161" t="s">
        <v>3511</v>
      </c>
      <c r="E653" s="8161" t="s">
        <v>3512</v>
      </c>
      <c r="F653" s="8161" t="s">
        <v>2599</v>
      </c>
      <c r="G653" s="8161" t="s">
        <v>3513</v>
      </c>
      <c r="H653" s="8161" t="s">
        <v>24</v>
      </c>
      <c r="I653" s="8161" t="s">
        <v>1644</v>
      </c>
    </row>
    <row customHeight="1" ht="11.25">
      <c r="A654" s="8161" t="s">
        <v>2279</v>
      </c>
      <c r="B654" s="8161" t="s">
        <v>14</v>
      </c>
      <c r="C654" s="8161" t="s">
        <v>3514</v>
      </c>
      <c r="D654" s="8161" t="s">
        <v>3515</v>
      </c>
      <c r="E654" s="8161" t="s">
        <v>3516</v>
      </c>
      <c r="F654" s="8161" t="s">
        <v>2672</v>
      </c>
      <c r="G654" s="8161" t="s">
        <v>3517</v>
      </c>
      <c r="H654" s="8161" t="s">
        <v>24</v>
      </c>
      <c r="I654" s="8161" t="s">
        <v>1644</v>
      </c>
    </row>
    <row customHeight="1" ht="11.25">
      <c r="A655" s="8161" t="s">
        <v>2279</v>
      </c>
      <c r="B655" s="8161" t="s">
        <v>14</v>
      </c>
      <c r="C655" s="8161" t="s">
        <v>3518</v>
      </c>
      <c r="D655" s="8161" t="s">
        <v>3519</v>
      </c>
      <c r="E655" s="8161" t="s">
        <v>3520</v>
      </c>
      <c r="F655" s="8161" t="s">
        <v>2574</v>
      </c>
      <c r="G655" s="8161" t="s">
        <v>3521</v>
      </c>
      <c r="H655" s="8161" t="s">
        <v>24</v>
      </c>
      <c r="I655" s="8161" t="s">
        <v>1644</v>
      </c>
    </row>
    <row customHeight="1" ht="11.25">
      <c r="A656" s="8161" t="s">
        <v>2279</v>
      </c>
      <c r="B656" s="8161" t="s">
        <v>14</v>
      </c>
      <c r="C656" s="8161" t="s">
        <v>3522</v>
      </c>
      <c r="D656" s="8161" t="s">
        <v>3523</v>
      </c>
      <c r="E656" s="8161" t="s">
        <v>3524</v>
      </c>
      <c r="F656" s="8161" t="s">
        <v>2968</v>
      </c>
      <c r="G656" s="8161" t="s">
        <v>3525</v>
      </c>
      <c r="H656" s="8161" t="s">
        <v>24</v>
      </c>
      <c r="I656" s="8161" t="s">
        <v>1644</v>
      </c>
    </row>
    <row customHeight="1" ht="11.25">
      <c r="A657" s="8161" t="s">
        <v>2279</v>
      </c>
      <c r="B657" s="8161" t="s">
        <v>14</v>
      </c>
      <c r="C657" s="8161" t="s">
        <v>3152</v>
      </c>
      <c r="D657" s="8161" t="s">
        <v>3153</v>
      </c>
      <c r="E657" s="8161" t="s">
        <v>3154</v>
      </c>
      <c r="F657" s="8161" t="s">
        <v>2560</v>
      </c>
      <c r="G657" s="8161" t="s">
        <v>24</v>
      </c>
      <c r="H657" s="8161" t="s">
        <v>24</v>
      </c>
      <c r="I657" s="8161" t="s">
        <v>1644</v>
      </c>
    </row>
    <row customHeight="1" ht="11.25">
      <c r="A658" s="8161" t="s">
        <v>2279</v>
      </c>
      <c r="B658" s="8161" t="s">
        <v>14</v>
      </c>
      <c r="C658" s="8161" t="s">
        <v>3526</v>
      </c>
      <c r="D658" s="8161" t="s">
        <v>3527</v>
      </c>
      <c r="E658" s="8161" t="s">
        <v>3528</v>
      </c>
      <c r="F658" s="8161" t="s">
        <v>2873</v>
      </c>
      <c r="G658" s="8161" t="s">
        <v>3529</v>
      </c>
      <c r="H658" s="8161" t="s">
        <v>24</v>
      </c>
      <c r="I658" s="8161" t="s">
        <v>1644</v>
      </c>
    </row>
    <row customHeight="1" ht="11.25">
      <c r="A659" s="8161" t="s">
        <v>2279</v>
      </c>
      <c r="B659" s="8161" t="s">
        <v>14</v>
      </c>
      <c r="C659" s="8161" t="s">
        <v>3530</v>
      </c>
      <c r="D659" s="8161" t="s">
        <v>3531</v>
      </c>
      <c r="E659" s="8161" t="s">
        <v>3532</v>
      </c>
      <c r="F659" s="8161" t="s">
        <v>2359</v>
      </c>
      <c r="G659" s="8161" t="s">
        <v>24</v>
      </c>
      <c r="H659" s="8161" t="s">
        <v>24</v>
      </c>
      <c r="I659" s="8161" t="s">
        <v>1644</v>
      </c>
    </row>
    <row customHeight="1" ht="11.25">
      <c r="A660" s="8161" t="s">
        <v>2279</v>
      </c>
      <c r="B660" s="8161" t="s">
        <v>14</v>
      </c>
      <c r="C660" s="8161" t="s">
        <v>3533</v>
      </c>
      <c r="D660" s="8161" t="s">
        <v>3534</v>
      </c>
      <c r="E660" s="8161" t="s">
        <v>3535</v>
      </c>
      <c r="F660" s="8161" t="s">
        <v>2296</v>
      </c>
      <c r="G660" s="8161" t="s">
        <v>3536</v>
      </c>
      <c r="H660" s="8161" t="s">
        <v>24</v>
      </c>
      <c r="I660" s="8161" t="s">
        <v>1644</v>
      </c>
    </row>
    <row customHeight="1" ht="11.25">
      <c r="A661" s="8161" t="s">
        <v>2279</v>
      </c>
      <c r="B661" s="8161" t="s">
        <v>14</v>
      </c>
      <c r="C661" s="8161" t="s">
        <v>3537</v>
      </c>
      <c r="D661" s="8161" t="s">
        <v>3538</v>
      </c>
      <c r="E661" s="8161" t="s">
        <v>3539</v>
      </c>
      <c r="F661" s="8161" t="s">
        <v>2697</v>
      </c>
      <c r="G661" s="8161" t="s">
        <v>24</v>
      </c>
      <c r="H661" s="8161" t="s">
        <v>24</v>
      </c>
      <c r="I661" s="8161" t="s">
        <v>1644</v>
      </c>
    </row>
    <row customHeight="1" ht="11.25">
      <c r="A662" s="8161" t="s">
        <v>2279</v>
      </c>
      <c r="B662" s="8161" t="s">
        <v>14</v>
      </c>
      <c r="C662" s="8161" t="s">
        <v>3540</v>
      </c>
      <c r="D662" s="8161" t="s">
        <v>3541</v>
      </c>
      <c r="E662" s="8161" t="s">
        <v>3542</v>
      </c>
      <c r="F662" s="8161" t="s">
        <v>2473</v>
      </c>
      <c r="G662" s="8161" t="s">
        <v>3543</v>
      </c>
      <c r="H662" s="8161" t="s">
        <v>24</v>
      </c>
      <c r="I662" s="8161" t="s">
        <v>1644</v>
      </c>
    </row>
    <row customHeight="1" ht="11.25">
      <c r="A663" s="8161" t="s">
        <v>2279</v>
      </c>
      <c r="B663" s="8161" t="s">
        <v>14</v>
      </c>
      <c r="C663" s="8161" t="s">
        <v>3544</v>
      </c>
      <c r="D663" s="8161" t="s">
        <v>3545</v>
      </c>
      <c r="E663" s="8161" t="s">
        <v>3546</v>
      </c>
      <c r="F663" s="8161" t="s">
        <v>2616</v>
      </c>
      <c r="G663" s="8161" t="s">
        <v>24</v>
      </c>
      <c r="H663" s="8161" t="s">
        <v>24</v>
      </c>
      <c r="I663" s="8161" t="s">
        <v>1644</v>
      </c>
    </row>
    <row customHeight="1" ht="11.25">
      <c r="A664" s="8161" t="s">
        <v>2279</v>
      </c>
      <c r="B664" s="8161" t="s">
        <v>14</v>
      </c>
      <c r="C664" s="8161" t="s">
        <v>3547</v>
      </c>
      <c r="D664" s="8161" t="s">
        <v>3548</v>
      </c>
      <c r="E664" s="8161" t="s">
        <v>3549</v>
      </c>
      <c r="F664" s="8161" t="s">
        <v>2296</v>
      </c>
      <c r="G664" s="8161" t="s">
        <v>3550</v>
      </c>
      <c r="H664" s="8161" t="s">
        <v>24</v>
      </c>
      <c r="I664" s="8161" t="s">
        <v>1644</v>
      </c>
    </row>
    <row customHeight="1" ht="11.25">
      <c r="A665" s="8161" t="s">
        <v>2279</v>
      </c>
      <c r="B665" s="8161" t="s">
        <v>14</v>
      </c>
      <c r="C665" s="8161" t="s">
        <v>3551</v>
      </c>
      <c r="D665" s="8161" t="s">
        <v>3552</v>
      </c>
      <c r="E665" s="8161" t="s">
        <v>3553</v>
      </c>
      <c r="F665" s="8161" t="s">
        <v>2287</v>
      </c>
      <c r="G665" s="8161" t="s">
        <v>3554</v>
      </c>
      <c r="H665" s="8161" t="s">
        <v>24</v>
      </c>
      <c r="I665" s="8161" t="s">
        <v>1644</v>
      </c>
    </row>
    <row customHeight="1" ht="11.25">
      <c r="A666" s="8161" t="s">
        <v>2279</v>
      </c>
      <c r="B666" s="8161" t="s">
        <v>14</v>
      </c>
      <c r="C666" s="8161" t="s">
        <v>3555</v>
      </c>
      <c r="D666" s="8161" t="s">
        <v>3556</v>
      </c>
      <c r="E666" s="8161" t="s">
        <v>3557</v>
      </c>
      <c r="F666" s="8161" t="s">
        <v>2404</v>
      </c>
      <c r="G666" s="8161" t="s">
        <v>24</v>
      </c>
      <c r="H666" s="8161" t="s">
        <v>24</v>
      </c>
      <c r="I666" s="8161" t="s">
        <v>1644</v>
      </c>
    </row>
    <row customHeight="1" ht="11.25">
      <c r="A667" s="8161" t="s">
        <v>2279</v>
      </c>
      <c r="B667" s="8161" t="s">
        <v>14</v>
      </c>
      <c r="C667" s="8161" t="s">
        <v>3558</v>
      </c>
      <c r="D667" s="8161" t="s">
        <v>3559</v>
      </c>
      <c r="E667" s="8161" t="s">
        <v>3560</v>
      </c>
      <c r="F667" s="8161" t="s">
        <v>2283</v>
      </c>
      <c r="G667" s="8161" t="s">
        <v>3561</v>
      </c>
      <c r="H667" s="8161" t="s">
        <v>24</v>
      </c>
      <c r="I667" s="8161" t="s">
        <v>1644</v>
      </c>
    </row>
    <row customHeight="1" ht="11.25">
      <c r="A668" s="8161" t="s">
        <v>2279</v>
      </c>
      <c r="B668" s="8161" t="s">
        <v>14</v>
      </c>
      <c r="C668" s="8161" t="s">
        <v>3239</v>
      </c>
      <c r="D668" s="8161" t="s">
        <v>3240</v>
      </c>
      <c r="E668" s="8161" t="s">
        <v>3241</v>
      </c>
      <c r="F668" s="8161" t="s">
        <v>2418</v>
      </c>
      <c r="G668" s="8161" t="s">
        <v>24</v>
      </c>
      <c r="H668" s="8161" t="s">
        <v>24</v>
      </c>
      <c r="I668" s="8161" t="s">
        <v>1644</v>
      </c>
    </row>
    <row customHeight="1" ht="11.25">
      <c r="A669" s="8161" t="s">
        <v>2279</v>
      </c>
      <c r="B669" s="8161" t="s">
        <v>14</v>
      </c>
      <c r="C669" s="8161" t="s">
        <v>3562</v>
      </c>
      <c r="D669" s="8161" t="s">
        <v>3563</v>
      </c>
      <c r="E669" s="8161" t="s">
        <v>3564</v>
      </c>
      <c r="F669" s="8161" t="s">
        <v>2287</v>
      </c>
      <c r="G669" s="8161" t="s">
        <v>3565</v>
      </c>
      <c r="H669" s="8161" t="s">
        <v>24</v>
      </c>
      <c r="I669" s="8161" t="s">
        <v>1644</v>
      </c>
    </row>
    <row customHeight="1" ht="11.25">
      <c r="A670" s="8161" t="s">
        <v>2279</v>
      </c>
      <c r="B670" s="8161" t="s">
        <v>14</v>
      </c>
      <c r="C670" s="8161" t="s">
        <v>3566</v>
      </c>
      <c r="D670" s="8161" t="s">
        <v>3567</v>
      </c>
      <c r="E670" s="8161" t="s">
        <v>3568</v>
      </c>
      <c r="F670" s="8161" t="s">
        <v>2448</v>
      </c>
      <c r="G670" s="8161" t="s">
        <v>3569</v>
      </c>
      <c r="H670" s="8161" t="s">
        <v>24</v>
      </c>
      <c r="I670" s="8161" t="s">
        <v>1644</v>
      </c>
    </row>
    <row customHeight="1" ht="11.25">
      <c r="A671" s="8161" t="s">
        <v>2279</v>
      </c>
      <c r="B671" s="8161" t="s">
        <v>14</v>
      </c>
      <c r="C671" s="8161" t="s">
        <v>3570</v>
      </c>
      <c r="D671" s="8161" t="s">
        <v>3571</v>
      </c>
      <c r="E671" s="8161" t="s">
        <v>3572</v>
      </c>
      <c r="F671" s="8161" t="s">
        <v>2599</v>
      </c>
      <c r="G671" s="8161" t="s">
        <v>3573</v>
      </c>
      <c r="H671" s="8161" t="s">
        <v>24</v>
      </c>
      <c r="I671" s="8161" t="s">
        <v>1644</v>
      </c>
    </row>
    <row customHeight="1" ht="11.25">
      <c r="A672" s="8161" t="s">
        <v>2279</v>
      </c>
      <c r="B672" s="8161" t="s">
        <v>14</v>
      </c>
      <c r="C672" s="8161" t="s">
        <v>3574</v>
      </c>
      <c r="D672" s="8161" t="s">
        <v>3575</v>
      </c>
      <c r="E672" s="8161" t="s">
        <v>3576</v>
      </c>
      <c r="F672" s="8161" t="s">
        <v>2672</v>
      </c>
      <c r="G672" s="8161" t="s">
        <v>3577</v>
      </c>
      <c r="H672" s="8161" t="s">
        <v>24</v>
      </c>
      <c r="I672" s="8161" t="s">
        <v>1644</v>
      </c>
    </row>
    <row customHeight="1" ht="11.25">
      <c r="A673" s="8161" t="s">
        <v>2279</v>
      </c>
      <c r="B673" s="8161" t="s">
        <v>14</v>
      </c>
      <c r="C673" s="8161" t="s">
        <v>3578</v>
      </c>
      <c r="D673" s="8161" t="s">
        <v>3579</v>
      </c>
      <c r="E673" s="8161" t="s">
        <v>3580</v>
      </c>
      <c r="F673" s="8161" t="s">
        <v>2438</v>
      </c>
      <c r="G673" s="8161" t="s">
        <v>3581</v>
      </c>
      <c r="H673" s="8161" t="s">
        <v>24</v>
      </c>
      <c r="I673" s="8161" t="s">
        <v>1644</v>
      </c>
    </row>
    <row customHeight="1" ht="11.25">
      <c r="A674" s="8161" t="s">
        <v>2279</v>
      </c>
      <c r="B674" s="8161" t="s">
        <v>14</v>
      </c>
      <c r="C674" s="8161" t="s">
        <v>3582</v>
      </c>
      <c r="D674" s="8161" t="s">
        <v>3583</v>
      </c>
      <c r="E674" s="8161" t="s">
        <v>3584</v>
      </c>
      <c r="F674" s="8161" t="s">
        <v>2516</v>
      </c>
      <c r="G674" s="8161" t="s">
        <v>3585</v>
      </c>
      <c r="H674" s="8161" t="s">
        <v>24</v>
      </c>
      <c r="I674" s="8161" t="s">
        <v>1644</v>
      </c>
    </row>
    <row customHeight="1" ht="11.25">
      <c r="A675" s="8161" t="s">
        <v>2279</v>
      </c>
      <c r="B675" s="8161" t="s">
        <v>14</v>
      </c>
      <c r="C675" s="8161" t="s">
        <v>3586</v>
      </c>
      <c r="D675" s="8161" t="s">
        <v>3587</v>
      </c>
      <c r="E675" s="8161" t="s">
        <v>3588</v>
      </c>
      <c r="F675" s="8161" t="s">
        <v>2291</v>
      </c>
      <c r="G675" s="8161" t="s">
        <v>3589</v>
      </c>
      <c r="H675" s="8161" t="s">
        <v>24</v>
      </c>
      <c r="I675" s="8161" t="s">
        <v>1644</v>
      </c>
    </row>
    <row customHeight="1" ht="11.25">
      <c r="A676" s="8161" t="s">
        <v>2279</v>
      </c>
      <c r="B676" s="8161" t="s">
        <v>14</v>
      </c>
      <c r="C676" s="8161" t="s">
        <v>3590</v>
      </c>
      <c r="D676" s="8161" t="s">
        <v>3591</v>
      </c>
      <c r="E676" s="8161" t="s">
        <v>3592</v>
      </c>
      <c r="F676" s="8161" t="s">
        <v>2560</v>
      </c>
      <c r="G676" s="8161" t="s">
        <v>24</v>
      </c>
      <c r="H676" s="8161" t="s">
        <v>3593</v>
      </c>
      <c r="I676" s="8161" t="s">
        <v>1644</v>
      </c>
    </row>
    <row customHeight="1" ht="11.25">
      <c r="A677" s="8161" t="s">
        <v>2279</v>
      </c>
      <c r="B677" s="8161" t="s">
        <v>14</v>
      </c>
      <c r="C677" s="8161" t="s">
        <v>3594</v>
      </c>
      <c r="D677" s="8161" t="s">
        <v>3595</v>
      </c>
      <c r="E677" s="8161" t="s">
        <v>3596</v>
      </c>
      <c r="F677" s="8161" t="s">
        <v>2672</v>
      </c>
      <c r="G677" s="8161" t="s">
        <v>24</v>
      </c>
      <c r="H677" s="8161" t="s">
        <v>24</v>
      </c>
      <c r="I677" s="8161" t="s">
        <v>1644</v>
      </c>
    </row>
    <row customHeight="1" ht="11.25">
      <c r="A678" s="8161" t="s">
        <v>2279</v>
      </c>
      <c r="B678" s="8161" t="s">
        <v>14</v>
      </c>
      <c r="C678" s="8161" t="s">
        <v>3597</v>
      </c>
      <c r="D678" s="8161" t="s">
        <v>3598</v>
      </c>
      <c r="E678" s="8161" t="s">
        <v>3599</v>
      </c>
      <c r="F678" s="8161" t="s">
        <v>2516</v>
      </c>
      <c r="G678" s="8161" t="s">
        <v>3600</v>
      </c>
      <c r="H678" s="8161" t="s">
        <v>24</v>
      </c>
      <c r="I678" s="8161" t="s">
        <v>1644</v>
      </c>
    </row>
    <row customHeight="1" ht="11.25">
      <c r="A679" s="8161" t="s">
        <v>2279</v>
      </c>
      <c r="B679" s="8161" t="s">
        <v>14</v>
      </c>
      <c r="C679" s="8161" t="s">
        <v>3601</v>
      </c>
      <c r="D679" s="8161" t="s">
        <v>3602</v>
      </c>
      <c r="E679" s="8161" t="s">
        <v>3603</v>
      </c>
      <c r="F679" s="8161" t="s">
        <v>2339</v>
      </c>
      <c r="G679" s="8161" t="s">
        <v>3604</v>
      </c>
      <c r="H679" s="8161" t="s">
        <v>24</v>
      </c>
      <c r="I679" s="8161" t="s">
        <v>1644</v>
      </c>
    </row>
    <row customHeight="1" ht="11.25">
      <c r="A680" s="8161" t="s">
        <v>2279</v>
      </c>
      <c r="B680" s="8161" t="s">
        <v>14</v>
      </c>
      <c r="C680" s="8161" t="s">
        <v>3605</v>
      </c>
      <c r="D680" s="8161" t="s">
        <v>3606</v>
      </c>
      <c r="E680" s="8161" t="s">
        <v>3607</v>
      </c>
      <c r="F680" s="8161" t="s">
        <v>2296</v>
      </c>
      <c r="G680" s="8161" t="s">
        <v>3608</v>
      </c>
      <c r="H680" s="8161" t="s">
        <v>24</v>
      </c>
      <c r="I680" s="8161" t="s">
        <v>1644</v>
      </c>
    </row>
    <row customHeight="1" ht="11.25">
      <c r="A681" s="8161" t="s">
        <v>2279</v>
      </c>
      <c r="B681" s="8161" t="s">
        <v>14</v>
      </c>
      <c r="C681" s="8161" t="s">
        <v>3609</v>
      </c>
      <c r="D681" s="8161" t="s">
        <v>3610</v>
      </c>
      <c r="E681" s="8161" t="s">
        <v>3611</v>
      </c>
      <c r="F681" s="8161" t="s">
        <v>2296</v>
      </c>
      <c r="G681" s="8161" t="s">
        <v>3612</v>
      </c>
      <c r="H681" s="8161" t="s">
        <v>24</v>
      </c>
      <c r="I681" s="8161" t="s">
        <v>1644</v>
      </c>
    </row>
    <row customHeight="1" ht="11.25">
      <c r="A682" s="8161" t="s">
        <v>2279</v>
      </c>
      <c r="B682" s="8161" t="s">
        <v>14</v>
      </c>
      <c r="C682" s="8161" t="s">
        <v>3613</v>
      </c>
      <c r="D682" s="8161" t="s">
        <v>3614</v>
      </c>
      <c r="E682" s="8161" t="s">
        <v>3615</v>
      </c>
      <c r="F682" s="8161" t="s">
        <v>2430</v>
      </c>
      <c r="G682" s="8161" t="s">
        <v>3616</v>
      </c>
      <c r="H682" s="8161" t="s">
        <v>24</v>
      </c>
      <c r="I682" s="8161" t="s">
        <v>1644</v>
      </c>
    </row>
    <row customHeight="1" ht="11.25">
      <c r="A683" s="8161" t="s">
        <v>2279</v>
      </c>
      <c r="B683" s="8161" t="s">
        <v>14</v>
      </c>
      <c r="C683" s="8161" t="s">
        <v>3617</v>
      </c>
      <c r="D683" s="8161" t="s">
        <v>3618</v>
      </c>
      <c r="E683" s="8161" t="s">
        <v>3619</v>
      </c>
      <c r="F683" s="8161" t="s">
        <v>3037</v>
      </c>
      <c r="G683" s="8161" t="s">
        <v>3620</v>
      </c>
      <c r="H683" s="8161" t="s">
        <v>24</v>
      </c>
      <c r="I683" s="8161" t="s">
        <v>1644</v>
      </c>
    </row>
    <row customHeight="1" ht="11.25">
      <c r="A684" s="8161" t="s">
        <v>2279</v>
      </c>
      <c r="B684" s="8161" t="s">
        <v>14</v>
      </c>
      <c r="C684" s="8161" t="s">
        <v>3621</v>
      </c>
      <c r="D684" s="8161" t="s">
        <v>3622</v>
      </c>
      <c r="E684" s="8161" t="s">
        <v>3623</v>
      </c>
      <c r="F684" s="8161" t="s">
        <v>2359</v>
      </c>
      <c r="G684" s="8161" t="s">
        <v>24</v>
      </c>
      <c r="H684" s="8161" t="s">
        <v>24</v>
      </c>
      <c r="I684" s="8161" t="s">
        <v>1644</v>
      </c>
    </row>
    <row customHeight="1" ht="11.25">
      <c r="A685" s="8161" t="s">
        <v>2279</v>
      </c>
      <c r="B685" s="8161" t="s">
        <v>14</v>
      </c>
      <c r="C685" s="8161" t="s">
        <v>3624</v>
      </c>
      <c r="D685" s="8161" t="s">
        <v>3625</v>
      </c>
      <c r="E685" s="8161" t="s">
        <v>3626</v>
      </c>
      <c r="F685" s="8161" t="s">
        <v>2493</v>
      </c>
      <c r="G685" s="8161" t="s">
        <v>24</v>
      </c>
      <c r="H685" s="8161" t="s">
        <v>24</v>
      </c>
      <c r="I685" s="8161" t="s">
        <v>1644</v>
      </c>
    </row>
    <row customHeight="1" ht="11.25">
      <c r="A686" s="8161" t="s">
        <v>2279</v>
      </c>
      <c r="B686" s="8161" t="s">
        <v>14</v>
      </c>
      <c r="C686" s="8161" t="s">
        <v>3627</v>
      </c>
      <c r="D686" s="8161" t="s">
        <v>3628</v>
      </c>
      <c r="E686" s="8161" t="s">
        <v>3629</v>
      </c>
      <c r="F686" s="8161" t="s">
        <v>2296</v>
      </c>
      <c r="G686" s="8161" t="s">
        <v>24</v>
      </c>
      <c r="H686" s="8161" t="s">
        <v>24</v>
      </c>
      <c r="I686" s="8161" t="s">
        <v>1644</v>
      </c>
    </row>
    <row customHeight="1" ht="11.25">
      <c r="A687" s="8161" t="s">
        <v>2279</v>
      </c>
      <c r="B687" s="8161" t="s">
        <v>14</v>
      </c>
      <c r="C687" s="8161" t="s">
        <v>3630</v>
      </c>
      <c r="D687" s="8161" t="s">
        <v>3631</v>
      </c>
      <c r="E687" s="8161" t="s">
        <v>3632</v>
      </c>
      <c r="F687" s="8161" t="s">
        <v>2468</v>
      </c>
      <c r="G687" s="8161" t="s">
        <v>24</v>
      </c>
      <c r="H687" s="8161" t="s">
        <v>24</v>
      </c>
      <c r="I687" s="8161" t="s">
        <v>1644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B3A244-FE7F-E4C8-8232-24B567F9A7A2}" mc:Ignorable="x14ac xr xr2 xr3">
  <sheetPr>
    <tabColor rgb="FFFFCC99"/>
  </sheetPr>
  <dimension ref="A1:G107"/>
  <sheetViews>
    <sheetView topLeftCell="A1" showGridLines="0" workbookViewId="0">
      <selection activeCell="A1" sqref="A1"/>
    </sheetView>
  </sheetViews>
  <sheetFormatPr customHeight="1" defaultRowHeight="11.25"/>
  <cols>
    <col min="1" max="1" style="22989" width="9.140625"/>
  </cols>
  <sheetData>
    <row customHeight="1" ht="11.25">
      <c r="A1" s="595" t="s">
        <v>3633</v>
      </c>
      <c r="B1" s="283" t="s">
        <v>3634</v>
      </c>
      <c r="C1" s="283" t="s">
        <v>3635</v>
      </c>
      <c r="D1" s="283" t="s">
        <v>3636</v>
      </c>
      <c r="E1" s="145" t="s">
        <v>3637</v>
      </c>
      <c r="F1" s="145" t="s">
        <v>3638</v>
      </c>
      <c r="G1" s="145" t="s">
        <v>3639</v>
      </c>
    </row>
    <row customHeight="1" ht="11.25">
      <c r="A2" s="595" t="s">
        <v>14</v>
      </c>
      <c r="B2" s="0" t="s">
        <v>3640</v>
      </c>
      <c r="C2" s="0" t="s">
        <v>3641</v>
      </c>
      <c r="D2" s="0" t="s">
        <v>3640</v>
      </c>
      <c r="E2" s="0" t="s">
        <v>3641</v>
      </c>
      <c r="F2" s="0" t="s">
        <v>3642</v>
      </c>
      <c r="G2" s="0" t="s">
        <v>168</v>
      </c>
    </row>
    <row customHeight="1" ht="11.25">
      <c r="A3" s="595" t="s">
        <v>14</v>
      </c>
      <c r="B3" s="0" t="s">
        <v>3643</v>
      </c>
      <c r="C3" s="0" t="s">
        <v>3644</v>
      </c>
      <c r="D3" s="0" t="s">
        <v>3643</v>
      </c>
      <c r="E3" s="0" t="s">
        <v>3644</v>
      </c>
      <c r="F3" s="0" t="s">
        <v>3645</v>
      </c>
      <c r="G3" s="0" t="s">
        <v>99</v>
      </c>
    </row>
    <row customHeight="1" ht="11.25">
      <c r="A4" s="595" t="s">
        <v>14</v>
      </c>
      <c r="B4" s="0" t="s">
        <v>3646</v>
      </c>
      <c r="C4" s="0" t="s">
        <v>3647</v>
      </c>
      <c r="D4" s="0" t="s">
        <v>3646</v>
      </c>
      <c r="E4" s="0" t="s">
        <v>3647</v>
      </c>
      <c r="F4" s="0" t="s">
        <v>3645</v>
      </c>
      <c r="G4" s="0" t="s">
        <v>86</v>
      </c>
    </row>
    <row customHeight="1" ht="11.25">
      <c r="A5" s="595" t="s">
        <v>14</v>
      </c>
      <c r="B5" s="0" t="s">
        <v>107</v>
      </c>
      <c r="C5" s="0" t="s">
        <v>108</v>
      </c>
      <c r="D5" s="0" t="s">
        <v>107</v>
      </c>
      <c r="E5" s="0" t="s">
        <v>108</v>
      </c>
      <c r="F5" s="0" t="s">
        <v>3645</v>
      </c>
      <c r="G5" s="0" t="s">
        <v>87</v>
      </c>
    </row>
    <row customHeight="1" ht="11.25">
      <c r="A6" s="595" t="s">
        <v>14</v>
      </c>
      <c r="B6" s="0" t="s">
        <v>149</v>
      </c>
      <c r="C6" s="0" t="s">
        <v>150</v>
      </c>
      <c r="D6" s="0" t="s">
        <v>149</v>
      </c>
      <c r="E6" s="0" t="s">
        <v>150</v>
      </c>
      <c r="F6" s="0" t="s">
        <v>3645</v>
      </c>
      <c r="G6" s="0" t="s">
        <v>113</v>
      </c>
    </row>
    <row customHeight="1" ht="11.25">
      <c r="A7" s="595" t="s">
        <v>14</v>
      </c>
      <c r="B7" s="0" t="s">
        <v>3648</v>
      </c>
      <c r="C7" s="0" t="s">
        <v>3649</v>
      </c>
      <c r="D7" s="0" t="s">
        <v>3648</v>
      </c>
      <c r="E7" s="0" t="s">
        <v>3649</v>
      </c>
      <c r="F7" s="0" t="s">
        <v>3645</v>
      </c>
      <c r="G7" s="0" t="s">
        <v>88</v>
      </c>
    </row>
    <row customHeight="1" ht="11.25">
      <c r="A8" s="595" t="s">
        <v>14</v>
      </c>
      <c r="B8" s="0" t="s">
        <v>120</v>
      </c>
      <c r="C8" s="0" t="s">
        <v>121</v>
      </c>
      <c r="D8" s="0" t="s">
        <v>120</v>
      </c>
      <c r="E8" s="0" t="s">
        <v>121</v>
      </c>
      <c r="F8" s="0" t="s">
        <v>3645</v>
      </c>
      <c r="G8" s="0" t="s">
        <v>89</v>
      </c>
    </row>
    <row customHeight="1" ht="11.25">
      <c r="A9" s="595" t="s">
        <v>14</v>
      </c>
      <c r="B9" s="0" t="s">
        <v>3650</v>
      </c>
      <c r="C9" s="0" t="s">
        <v>3651</v>
      </c>
      <c r="D9" s="0" t="s">
        <v>3652</v>
      </c>
      <c r="E9" s="0" t="s">
        <v>3653</v>
      </c>
      <c r="F9" s="0" t="s">
        <v>3654</v>
      </c>
      <c r="G9" s="0" t="s">
        <v>126</v>
      </c>
    </row>
    <row customHeight="1" ht="11.25">
      <c r="A10" s="595" t="s">
        <v>14</v>
      </c>
      <c r="B10" s="0" t="s">
        <v>3650</v>
      </c>
      <c r="C10" s="0" t="s">
        <v>3651</v>
      </c>
      <c r="D10" s="0" t="s">
        <v>3650</v>
      </c>
      <c r="E10" s="0" t="s">
        <v>3651</v>
      </c>
      <c r="F10" s="0" t="s">
        <v>3655</v>
      </c>
      <c r="G10" s="0" t="s">
        <v>131</v>
      </c>
    </row>
    <row customHeight="1" ht="11.25">
      <c r="A11" s="595" t="s">
        <v>14</v>
      </c>
      <c r="B11" s="0" t="s">
        <v>3650</v>
      </c>
      <c r="C11" s="0" t="s">
        <v>3651</v>
      </c>
      <c r="D11" s="0" t="s">
        <v>3656</v>
      </c>
      <c r="E11" s="0" t="s">
        <v>3657</v>
      </c>
      <c r="F11" s="0" t="s">
        <v>3654</v>
      </c>
      <c r="G11" s="0" t="s">
        <v>136</v>
      </c>
    </row>
    <row customHeight="1" ht="11.25">
      <c r="A12" s="595" t="s">
        <v>14</v>
      </c>
      <c r="B12" s="0" t="s">
        <v>3650</v>
      </c>
      <c r="C12" s="0" t="s">
        <v>3651</v>
      </c>
      <c r="D12" s="0" t="s">
        <v>3658</v>
      </c>
      <c r="E12" s="0" t="s">
        <v>3659</v>
      </c>
      <c r="F12" s="0" t="s">
        <v>3660</v>
      </c>
      <c r="G12" s="0" t="s">
        <v>141</v>
      </c>
    </row>
    <row customHeight="1" ht="11.25">
      <c r="A13" s="595" t="s">
        <v>14</v>
      </c>
      <c r="B13" s="0" t="s">
        <v>3650</v>
      </c>
      <c r="C13" s="0" t="s">
        <v>3651</v>
      </c>
      <c r="D13" s="0" t="s">
        <v>3661</v>
      </c>
      <c r="E13" s="0" t="s">
        <v>3662</v>
      </c>
      <c r="F13" s="0" t="s">
        <v>3654</v>
      </c>
      <c r="G13" s="0" t="s">
        <v>147</v>
      </c>
    </row>
    <row customHeight="1" ht="11.25">
      <c r="A14" s="595" t="s">
        <v>14</v>
      </c>
      <c r="B14" s="0" t="s">
        <v>3650</v>
      </c>
      <c r="C14" s="0" t="s">
        <v>3651</v>
      </c>
      <c r="D14" s="0" t="s">
        <v>3663</v>
      </c>
      <c r="E14" s="0" t="s">
        <v>3664</v>
      </c>
      <c r="F14" s="0" t="s">
        <v>3654</v>
      </c>
      <c r="G14" s="0" t="s">
        <v>151</v>
      </c>
    </row>
    <row customHeight="1" ht="11.25">
      <c r="A15" s="595" t="s">
        <v>14</v>
      </c>
      <c r="B15" s="0" t="s">
        <v>3650</v>
      </c>
      <c r="C15" s="0" t="s">
        <v>3651</v>
      </c>
      <c r="D15" s="0" t="s">
        <v>3665</v>
      </c>
      <c r="E15" s="0" t="s">
        <v>3666</v>
      </c>
      <c r="F15" s="0" t="s">
        <v>3654</v>
      </c>
      <c r="G15" s="0" t="s">
        <v>156</v>
      </c>
    </row>
    <row customHeight="1" ht="11.25">
      <c r="A16" s="595" t="s">
        <v>14</v>
      </c>
      <c r="B16" s="0" t="s">
        <v>3650</v>
      </c>
      <c r="C16" s="0" t="s">
        <v>3651</v>
      </c>
      <c r="D16" s="0" t="s">
        <v>3667</v>
      </c>
      <c r="E16" s="0" t="s">
        <v>3668</v>
      </c>
      <c r="F16" s="0" t="s">
        <v>3654</v>
      </c>
      <c r="G16" s="0" t="s">
        <v>1491</v>
      </c>
    </row>
    <row customHeight="1" ht="11.25">
      <c r="A17" s="595" t="s">
        <v>14</v>
      </c>
      <c r="B17" s="0" t="s">
        <v>3669</v>
      </c>
      <c r="C17" s="0" t="s">
        <v>3670</v>
      </c>
      <c r="D17" s="0" t="s">
        <v>3669</v>
      </c>
      <c r="E17" s="0" t="s">
        <v>3670</v>
      </c>
      <c r="F17" s="0" t="s">
        <v>3642</v>
      </c>
      <c r="G17" s="0" t="s">
        <v>1497</v>
      </c>
    </row>
    <row customHeight="1" ht="11.25">
      <c r="A18" s="595" t="s">
        <v>14</v>
      </c>
      <c r="B18" s="0" t="s">
        <v>116</v>
      </c>
      <c r="C18" s="0" t="s">
        <v>3671</v>
      </c>
      <c r="D18" s="0" t="s">
        <v>3672</v>
      </c>
      <c r="E18" s="0" t="s">
        <v>3673</v>
      </c>
      <c r="F18" s="0" t="s">
        <v>3654</v>
      </c>
      <c r="G18" s="0" t="s">
        <v>1508</v>
      </c>
    </row>
    <row customHeight="1" ht="11.25">
      <c r="A19" s="595" t="s">
        <v>14</v>
      </c>
      <c r="B19" s="0" t="s">
        <v>116</v>
      </c>
      <c r="C19" s="0" t="s">
        <v>3671</v>
      </c>
      <c r="D19" s="0" t="s">
        <v>3674</v>
      </c>
      <c r="E19" s="0" t="s">
        <v>3675</v>
      </c>
      <c r="F19" s="0" t="s">
        <v>3676</v>
      </c>
      <c r="G19" s="0" t="s">
        <v>1522</v>
      </c>
    </row>
    <row customHeight="1" ht="11.25">
      <c r="A20" s="595" t="s">
        <v>14</v>
      </c>
      <c r="B20" s="0" t="s">
        <v>116</v>
      </c>
      <c r="C20" s="0" t="s">
        <v>3671</v>
      </c>
      <c r="D20" s="0" t="s">
        <v>116</v>
      </c>
      <c r="E20" s="0" t="s">
        <v>3671</v>
      </c>
      <c r="F20" s="0" t="s">
        <v>3655</v>
      </c>
      <c r="G20" s="0" t="s">
        <v>1534</v>
      </c>
    </row>
    <row customHeight="1" ht="11.25">
      <c r="A21" s="595" t="s">
        <v>14</v>
      </c>
      <c r="B21" s="0" t="s">
        <v>116</v>
      </c>
      <c r="C21" s="0" t="s">
        <v>3671</v>
      </c>
      <c r="D21" s="0" t="s">
        <v>117</v>
      </c>
      <c r="E21" s="0" t="s">
        <v>118</v>
      </c>
      <c r="F21" s="0" t="s">
        <v>3676</v>
      </c>
      <c r="G21" s="0" t="s">
        <v>115</v>
      </c>
    </row>
    <row customHeight="1" ht="11.25">
      <c r="A22" s="595" t="s">
        <v>14</v>
      </c>
      <c r="B22" s="0" t="s">
        <v>116</v>
      </c>
      <c r="C22" s="0" t="s">
        <v>3671</v>
      </c>
      <c r="D22" s="0" t="s">
        <v>3677</v>
      </c>
      <c r="E22" s="0" t="s">
        <v>3678</v>
      </c>
      <c r="F22" s="0" t="s">
        <v>3654</v>
      </c>
      <c r="G22" s="0" t="s">
        <v>1558</v>
      </c>
    </row>
    <row customHeight="1" ht="11.25">
      <c r="A23" s="595" t="s">
        <v>14</v>
      </c>
      <c r="B23" s="0" t="s">
        <v>116</v>
      </c>
      <c r="C23" s="0" t="s">
        <v>3671</v>
      </c>
      <c r="D23" s="0" t="s">
        <v>3679</v>
      </c>
      <c r="E23" s="0" t="s">
        <v>3680</v>
      </c>
      <c r="F23" s="0" t="s">
        <v>3660</v>
      </c>
      <c r="G23" s="0" t="s">
        <v>1565</v>
      </c>
    </row>
    <row customHeight="1" ht="11.25">
      <c r="A24" s="595" t="s">
        <v>14</v>
      </c>
      <c r="B24" s="0" t="s">
        <v>116</v>
      </c>
      <c r="C24" s="0" t="s">
        <v>3671</v>
      </c>
      <c r="D24" s="0" t="s">
        <v>3681</v>
      </c>
      <c r="E24" s="0" t="s">
        <v>3682</v>
      </c>
      <c r="F24" s="0" t="s">
        <v>3654</v>
      </c>
      <c r="G24" s="0" t="s">
        <v>1573</v>
      </c>
    </row>
    <row customHeight="1" ht="11.25">
      <c r="A25" s="595" t="s">
        <v>14</v>
      </c>
      <c r="B25" s="0" t="s">
        <v>116</v>
      </c>
      <c r="C25" s="0" t="s">
        <v>3671</v>
      </c>
      <c r="D25" s="0" t="s">
        <v>3683</v>
      </c>
      <c r="E25" s="0" t="s">
        <v>3684</v>
      </c>
      <c r="F25" s="0" t="s">
        <v>3654</v>
      </c>
      <c r="G25" s="0" t="s">
        <v>1580</v>
      </c>
    </row>
    <row customHeight="1" ht="11.25">
      <c r="A26" s="595" t="s">
        <v>14</v>
      </c>
      <c r="B26" s="0" t="s">
        <v>3685</v>
      </c>
      <c r="C26" s="0" t="s">
        <v>3686</v>
      </c>
      <c r="D26" s="0" t="s">
        <v>3685</v>
      </c>
      <c r="E26" s="0" t="s">
        <v>3686</v>
      </c>
      <c r="F26" s="0" t="s">
        <v>3642</v>
      </c>
      <c r="G26" s="0" t="s">
        <v>1584</v>
      </c>
    </row>
    <row customHeight="1" ht="11.25">
      <c r="A27" s="595" t="s">
        <v>14</v>
      </c>
      <c r="B27" s="0" t="s">
        <v>3687</v>
      </c>
      <c r="C27" s="0" t="s">
        <v>3688</v>
      </c>
      <c r="D27" s="0" t="s">
        <v>3689</v>
      </c>
      <c r="E27" s="0" t="s">
        <v>3690</v>
      </c>
      <c r="F27" s="0" t="s">
        <v>3676</v>
      </c>
      <c r="G27" s="0" t="s">
        <v>1589</v>
      </c>
    </row>
    <row customHeight="1" ht="11.25">
      <c r="A28" s="595" t="s">
        <v>14</v>
      </c>
      <c r="B28" s="0" t="s">
        <v>3687</v>
      </c>
      <c r="C28" s="0" t="s">
        <v>3688</v>
      </c>
      <c r="D28" s="0" t="s">
        <v>3691</v>
      </c>
      <c r="E28" s="0" t="s">
        <v>3692</v>
      </c>
      <c r="F28" s="0" t="s">
        <v>3654</v>
      </c>
      <c r="G28" s="0" t="s">
        <v>1597</v>
      </c>
    </row>
    <row customHeight="1" ht="11.25">
      <c r="A29" s="595" t="s">
        <v>14</v>
      </c>
      <c r="B29" s="0" t="s">
        <v>3687</v>
      </c>
      <c r="C29" s="0" t="s">
        <v>3688</v>
      </c>
      <c r="D29" s="0" t="s">
        <v>3693</v>
      </c>
      <c r="E29" s="0" t="s">
        <v>3694</v>
      </c>
      <c r="F29" s="0" t="s">
        <v>3654</v>
      </c>
      <c r="G29" s="0" t="s">
        <v>1599</v>
      </c>
    </row>
    <row customHeight="1" ht="11.25">
      <c r="A30" s="595" t="s">
        <v>14</v>
      </c>
      <c r="B30" s="0" t="s">
        <v>3687</v>
      </c>
      <c r="C30" s="0" t="s">
        <v>3688</v>
      </c>
      <c r="D30" s="0" t="s">
        <v>3695</v>
      </c>
      <c r="E30" s="0" t="s">
        <v>3696</v>
      </c>
      <c r="F30" s="0" t="s">
        <v>3654</v>
      </c>
      <c r="G30" s="0" t="s">
        <v>1602</v>
      </c>
    </row>
    <row customHeight="1" ht="11.25">
      <c r="A31" s="595" t="s">
        <v>14</v>
      </c>
      <c r="B31" s="0" t="s">
        <v>3687</v>
      </c>
      <c r="C31" s="0" t="s">
        <v>3688</v>
      </c>
      <c r="D31" s="0" t="s">
        <v>3697</v>
      </c>
      <c r="E31" s="0" t="s">
        <v>3698</v>
      </c>
      <c r="F31" s="0" t="s">
        <v>3654</v>
      </c>
      <c r="G31" s="0" t="s">
        <v>1608</v>
      </c>
    </row>
    <row customHeight="1" ht="11.25">
      <c r="A32" s="595" t="s">
        <v>14</v>
      </c>
      <c r="B32" s="0" t="s">
        <v>3687</v>
      </c>
      <c r="C32" s="0" t="s">
        <v>3688</v>
      </c>
      <c r="D32" s="0" t="s">
        <v>3687</v>
      </c>
      <c r="E32" s="0" t="s">
        <v>3688</v>
      </c>
      <c r="F32" s="0" t="s">
        <v>3655</v>
      </c>
      <c r="G32" s="0" t="s">
        <v>1610</v>
      </c>
    </row>
    <row customHeight="1" ht="11.25">
      <c r="A33" s="595" t="s">
        <v>14</v>
      </c>
      <c r="B33" s="0" t="s">
        <v>3687</v>
      </c>
      <c r="C33" s="0" t="s">
        <v>3688</v>
      </c>
      <c r="D33" s="0" t="s">
        <v>3699</v>
      </c>
      <c r="E33" s="0" t="s">
        <v>3700</v>
      </c>
      <c r="F33" s="0" t="s">
        <v>3654</v>
      </c>
      <c r="G33" s="0" t="s">
        <v>1612</v>
      </c>
    </row>
    <row customHeight="1" ht="11.25">
      <c r="A34" s="595" t="s">
        <v>14</v>
      </c>
      <c r="B34" s="0" t="s">
        <v>3687</v>
      </c>
      <c r="C34" s="0" t="s">
        <v>3688</v>
      </c>
      <c r="D34" s="0" t="s">
        <v>3701</v>
      </c>
      <c r="E34" s="0" t="s">
        <v>3702</v>
      </c>
      <c r="F34" s="0" t="s">
        <v>3654</v>
      </c>
      <c r="G34" s="0" t="s">
        <v>1614</v>
      </c>
    </row>
    <row customHeight="1" ht="11.25">
      <c r="A35" s="595" t="s">
        <v>14</v>
      </c>
      <c r="B35" s="0" t="s">
        <v>3687</v>
      </c>
      <c r="C35" s="0" t="s">
        <v>3688</v>
      </c>
      <c r="D35" s="0" t="s">
        <v>3703</v>
      </c>
      <c r="E35" s="0" t="s">
        <v>3704</v>
      </c>
      <c r="F35" s="0" t="s">
        <v>3654</v>
      </c>
      <c r="G35" s="0" t="s">
        <v>1619</v>
      </c>
    </row>
    <row customHeight="1" ht="11.25">
      <c r="A36" s="595" t="s">
        <v>14</v>
      </c>
      <c r="B36" s="0" t="s">
        <v>3687</v>
      </c>
      <c r="C36" s="0" t="s">
        <v>3688</v>
      </c>
      <c r="D36" s="0" t="s">
        <v>3705</v>
      </c>
      <c r="E36" s="0" t="s">
        <v>3706</v>
      </c>
      <c r="F36" s="0" t="s">
        <v>3654</v>
      </c>
      <c r="G36" s="0" t="s">
        <v>1624</v>
      </c>
    </row>
    <row customHeight="1" ht="11.25">
      <c r="A37" s="595" t="s">
        <v>14</v>
      </c>
      <c r="B37" s="0" t="s">
        <v>3687</v>
      </c>
      <c r="C37" s="0" t="s">
        <v>3688</v>
      </c>
      <c r="D37" s="0" t="s">
        <v>3707</v>
      </c>
      <c r="E37" s="0" t="s">
        <v>3708</v>
      </c>
      <c r="F37" s="0" t="s">
        <v>3654</v>
      </c>
      <c r="G37" s="0" t="s">
        <v>1628</v>
      </c>
    </row>
    <row customHeight="1" ht="11.25">
      <c r="A38" s="595" t="s">
        <v>14</v>
      </c>
      <c r="B38" s="0" t="s">
        <v>139</v>
      </c>
      <c r="C38" s="0" t="s">
        <v>140</v>
      </c>
      <c r="D38" s="0" t="s">
        <v>139</v>
      </c>
      <c r="E38" s="0" t="s">
        <v>140</v>
      </c>
      <c r="F38" s="0" t="s">
        <v>3642</v>
      </c>
      <c r="G38" s="0" t="s">
        <v>138</v>
      </c>
    </row>
    <row customHeight="1" ht="11.25">
      <c r="A39" s="595" t="s">
        <v>14</v>
      </c>
      <c r="B39" s="0" t="s">
        <v>124</v>
      </c>
      <c r="C39" s="0" t="s">
        <v>125</v>
      </c>
      <c r="D39" s="0" t="s">
        <v>124</v>
      </c>
      <c r="E39" s="0" t="s">
        <v>125</v>
      </c>
      <c r="F39" s="0" t="s">
        <v>3645</v>
      </c>
      <c r="G39" s="0" t="s">
        <v>123</v>
      </c>
    </row>
    <row customHeight="1" ht="11.25">
      <c r="A40" s="595" t="s">
        <v>14</v>
      </c>
      <c r="B40" s="0" t="s">
        <v>3709</v>
      </c>
      <c r="C40" s="0" t="s">
        <v>3710</v>
      </c>
      <c r="D40" s="0" t="s">
        <v>3711</v>
      </c>
      <c r="E40" s="0" t="s">
        <v>3712</v>
      </c>
      <c r="F40" s="0" t="s">
        <v>3654</v>
      </c>
      <c r="G40" s="0" t="s">
        <v>1645</v>
      </c>
    </row>
    <row customHeight="1" ht="11.25">
      <c r="A41" s="595" t="s">
        <v>14</v>
      </c>
      <c r="B41" s="0" t="s">
        <v>3709</v>
      </c>
      <c r="C41" s="0" t="s">
        <v>3710</v>
      </c>
      <c r="D41" s="0" t="s">
        <v>3713</v>
      </c>
      <c r="E41" s="0" t="s">
        <v>3714</v>
      </c>
      <c r="F41" s="0" t="s">
        <v>3654</v>
      </c>
      <c r="G41" s="0" t="s">
        <v>1649</v>
      </c>
    </row>
    <row customHeight="1" ht="11.25">
      <c r="A42" s="595" t="s">
        <v>14</v>
      </c>
      <c r="B42" s="0" t="s">
        <v>3709</v>
      </c>
      <c r="C42" s="0" t="s">
        <v>3710</v>
      </c>
      <c r="D42" s="0" t="s">
        <v>3715</v>
      </c>
      <c r="E42" s="0" t="s">
        <v>3716</v>
      </c>
      <c r="F42" s="0" t="s">
        <v>3654</v>
      </c>
      <c r="G42" s="0" t="s">
        <v>1652</v>
      </c>
    </row>
    <row customHeight="1" ht="11.25">
      <c r="A43" s="595" t="s">
        <v>14</v>
      </c>
      <c r="B43" s="0" t="s">
        <v>3709</v>
      </c>
      <c r="C43" s="0" t="s">
        <v>3710</v>
      </c>
      <c r="D43" s="0" t="s">
        <v>3709</v>
      </c>
      <c r="E43" s="0" t="s">
        <v>3710</v>
      </c>
      <c r="F43" s="0" t="s">
        <v>3655</v>
      </c>
      <c r="G43" s="0" t="s">
        <v>1659</v>
      </c>
    </row>
    <row customHeight="1" ht="11.25">
      <c r="A44" s="595" t="s">
        <v>14</v>
      </c>
      <c r="B44" s="0" t="s">
        <v>3709</v>
      </c>
      <c r="C44" s="0" t="s">
        <v>3710</v>
      </c>
      <c r="D44" s="0" t="s">
        <v>3717</v>
      </c>
      <c r="E44" s="0" t="s">
        <v>3718</v>
      </c>
      <c r="F44" s="0" t="s">
        <v>3654</v>
      </c>
      <c r="G44" s="0" t="s">
        <v>1668</v>
      </c>
    </row>
    <row customHeight="1" ht="11.25">
      <c r="A45" s="595" t="s">
        <v>14</v>
      </c>
      <c r="B45" s="0" t="s">
        <v>3709</v>
      </c>
      <c r="C45" s="0" t="s">
        <v>3710</v>
      </c>
      <c r="D45" s="0" t="s">
        <v>3719</v>
      </c>
      <c r="E45" s="0" t="s">
        <v>3720</v>
      </c>
      <c r="F45" s="0" t="s">
        <v>3676</v>
      </c>
      <c r="G45" s="0" t="s">
        <v>1673</v>
      </c>
    </row>
    <row customHeight="1" ht="11.25">
      <c r="A46" s="595" t="s">
        <v>14</v>
      </c>
      <c r="B46" s="0" t="s">
        <v>3709</v>
      </c>
      <c r="C46" s="0" t="s">
        <v>3710</v>
      </c>
      <c r="D46" s="0" t="s">
        <v>3721</v>
      </c>
      <c r="E46" s="0" t="s">
        <v>3722</v>
      </c>
      <c r="F46" s="0" t="s">
        <v>3654</v>
      </c>
      <c r="G46" s="0" t="s">
        <v>1677</v>
      </c>
    </row>
    <row customHeight="1" ht="11.25">
      <c r="A47" s="595" t="s">
        <v>14</v>
      </c>
      <c r="B47" s="0" t="s">
        <v>3709</v>
      </c>
      <c r="C47" s="0" t="s">
        <v>3710</v>
      </c>
      <c r="D47" s="0" t="s">
        <v>3723</v>
      </c>
      <c r="E47" s="0" t="s">
        <v>3724</v>
      </c>
      <c r="F47" s="0" t="s">
        <v>3654</v>
      </c>
      <c r="G47" s="0" t="s">
        <v>1683</v>
      </c>
    </row>
    <row customHeight="1" ht="11.25">
      <c r="A48" s="595" t="s">
        <v>14</v>
      </c>
      <c r="B48" s="0" t="s">
        <v>3725</v>
      </c>
      <c r="C48" s="0" t="s">
        <v>3726</v>
      </c>
      <c r="D48" s="0" t="s">
        <v>3725</v>
      </c>
      <c r="E48" s="0" t="s">
        <v>3726</v>
      </c>
      <c r="F48" s="0" t="s">
        <v>3655</v>
      </c>
      <c r="G48" s="0" t="s">
        <v>1687</v>
      </c>
    </row>
    <row customHeight="1" ht="11.25">
      <c r="A49" s="595" t="s">
        <v>14</v>
      </c>
      <c r="B49" s="0" t="s">
        <v>3725</v>
      </c>
      <c r="C49" s="0" t="s">
        <v>3726</v>
      </c>
      <c r="D49" s="0" t="s">
        <v>3727</v>
      </c>
      <c r="E49" s="0" t="s">
        <v>3728</v>
      </c>
      <c r="F49" s="0" t="s">
        <v>3654</v>
      </c>
      <c r="G49" s="0" t="s">
        <v>1690</v>
      </c>
    </row>
    <row customHeight="1" ht="11.25">
      <c r="A50" s="595" t="s">
        <v>14</v>
      </c>
      <c r="B50" s="0" t="s">
        <v>3725</v>
      </c>
      <c r="C50" s="0" t="s">
        <v>3726</v>
      </c>
      <c r="D50" s="0" t="s">
        <v>3729</v>
      </c>
      <c r="E50" s="0" t="s">
        <v>3730</v>
      </c>
      <c r="F50" s="0" t="s">
        <v>3654</v>
      </c>
      <c r="G50" s="0" t="s">
        <v>1693</v>
      </c>
    </row>
    <row customHeight="1" ht="11.25">
      <c r="A51" s="595" t="s">
        <v>14</v>
      </c>
      <c r="B51" s="0" t="s">
        <v>3725</v>
      </c>
      <c r="C51" s="0" t="s">
        <v>3726</v>
      </c>
      <c r="D51" s="0" t="s">
        <v>3731</v>
      </c>
      <c r="E51" s="0" t="s">
        <v>3732</v>
      </c>
      <c r="F51" s="0" t="s">
        <v>3654</v>
      </c>
      <c r="G51" s="0" t="s">
        <v>1698</v>
      </c>
    </row>
    <row customHeight="1" ht="11.25">
      <c r="A52" s="595" t="s">
        <v>14</v>
      </c>
      <c r="B52" s="0" t="s">
        <v>134</v>
      </c>
      <c r="C52" s="0" t="s">
        <v>135</v>
      </c>
      <c r="D52" s="0" t="s">
        <v>134</v>
      </c>
      <c r="E52" s="0" t="s">
        <v>135</v>
      </c>
      <c r="F52" s="0" t="s">
        <v>3645</v>
      </c>
      <c r="G52" s="0" t="s">
        <v>133</v>
      </c>
    </row>
    <row customHeight="1" ht="11.25">
      <c r="A53" s="595" t="s">
        <v>14</v>
      </c>
      <c r="B53" s="0" t="s">
        <v>3733</v>
      </c>
      <c r="C53" s="0" t="s">
        <v>3734</v>
      </c>
      <c r="D53" s="0" t="s">
        <v>3733</v>
      </c>
      <c r="E53" s="0" t="s">
        <v>3734</v>
      </c>
      <c r="F53" s="0" t="s">
        <v>3642</v>
      </c>
      <c r="G53" s="0" t="s">
        <v>1703</v>
      </c>
    </row>
    <row customHeight="1" ht="11.25">
      <c r="A54" s="595" t="s">
        <v>14</v>
      </c>
      <c r="B54" s="0" t="s">
        <v>3735</v>
      </c>
      <c r="C54" s="0" t="s">
        <v>3736</v>
      </c>
      <c r="D54" s="0" t="s">
        <v>3735</v>
      </c>
      <c r="E54" s="0" t="s">
        <v>3736</v>
      </c>
      <c r="F54" s="0" t="s">
        <v>3642</v>
      </c>
      <c r="G54" s="0" t="s">
        <v>1706</v>
      </c>
    </row>
    <row customHeight="1" ht="11.25">
      <c r="A55" s="595" t="s">
        <v>14</v>
      </c>
      <c r="B55" s="0" t="s">
        <v>3737</v>
      </c>
      <c r="C55" s="0" t="s">
        <v>3738</v>
      </c>
      <c r="D55" s="0" t="s">
        <v>3737</v>
      </c>
      <c r="E55" s="0" t="s">
        <v>3738</v>
      </c>
      <c r="F55" s="0" t="s">
        <v>3645</v>
      </c>
      <c r="G55" s="0" t="s">
        <v>1710</v>
      </c>
    </row>
    <row customHeight="1" ht="11.25">
      <c r="A56" s="595" t="s">
        <v>14</v>
      </c>
      <c r="B56" s="0" t="s">
        <v>3739</v>
      </c>
      <c r="C56" s="0" t="s">
        <v>3740</v>
      </c>
      <c r="D56" s="0" t="s">
        <v>3739</v>
      </c>
      <c r="E56" s="0" t="s">
        <v>3740</v>
      </c>
      <c r="F56" s="0" t="s">
        <v>3642</v>
      </c>
      <c r="G56" s="0" t="s">
        <v>1713</v>
      </c>
    </row>
    <row customHeight="1" ht="11.25">
      <c r="A57" s="595" t="s">
        <v>14</v>
      </c>
      <c r="B57" s="0" t="s">
        <v>144</v>
      </c>
      <c r="C57" s="0" t="s">
        <v>3741</v>
      </c>
      <c r="D57" s="0" t="s">
        <v>3742</v>
      </c>
      <c r="E57" s="0" t="s">
        <v>3743</v>
      </c>
      <c r="F57" s="0" t="s">
        <v>3654</v>
      </c>
      <c r="G57" s="0" t="s">
        <v>1716</v>
      </c>
    </row>
    <row customHeight="1" ht="11.25">
      <c r="A58" s="595" t="s">
        <v>14</v>
      </c>
      <c r="B58" s="0" t="s">
        <v>144</v>
      </c>
      <c r="C58" s="0" t="s">
        <v>3741</v>
      </c>
      <c r="D58" s="0" t="s">
        <v>145</v>
      </c>
      <c r="E58" s="0" t="s">
        <v>146</v>
      </c>
      <c r="F58" s="0" t="s">
        <v>3654</v>
      </c>
      <c r="G58" s="0" t="s">
        <v>143</v>
      </c>
    </row>
    <row customHeight="1" ht="11.25">
      <c r="A59" s="595" t="s">
        <v>14</v>
      </c>
      <c r="B59" s="0" t="s">
        <v>144</v>
      </c>
      <c r="C59" s="0" t="s">
        <v>3741</v>
      </c>
      <c r="D59" s="0" t="s">
        <v>3744</v>
      </c>
      <c r="E59" s="0" t="s">
        <v>3745</v>
      </c>
      <c r="F59" s="0" t="s">
        <v>3654</v>
      </c>
      <c r="G59" s="0" t="s">
        <v>1722</v>
      </c>
    </row>
    <row customHeight="1" ht="11.25">
      <c r="A60" s="595" t="s">
        <v>14</v>
      </c>
      <c r="B60" s="0" t="s">
        <v>144</v>
      </c>
      <c r="C60" s="0" t="s">
        <v>3741</v>
      </c>
      <c r="D60" s="0" t="s">
        <v>3746</v>
      </c>
      <c r="E60" s="0" t="s">
        <v>3747</v>
      </c>
      <c r="F60" s="0" t="s">
        <v>3660</v>
      </c>
      <c r="G60" s="0" t="s">
        <v>1725</v>
      </c>
    </row>
    <row customHeight="1" ht="11.25">
      <c r="A61" s="595" t="s">
        <v>14</v>
      </c>
      <c r="B61" s="0" t="s">
        <v>144</v>
      </c>
      <c r="C61" s="0" t="s">
        <v>3741</v>
      </c>
      <c r="D61" s="0" t="s">
        <v>3748</v>
      </c>
      <c r="E61" s="0" t="s">
        <v>3749</v>
      </c>
      <c r="F61" s="0" t="s">
        <v>3654</v>
      </c>
      <c r="G61" s="0" t="s">
        <v>3750</v>
      </c>
    </row>
    <row customHeight="1" ht="11.25">
      <c r="A62" s="595" t="s">
        <v>14</v>
      </c>
      <c r="B62" s="0" t="s">
        <v>144</v>
      </c>
      <c r="C62" s="0" t="s">
        <v>3741</v>
      </c>
      <c r="D62" s="0" t="s">
        <v>3751</v>
      </c>
      <c r="E62" s="0" t="s">
        <v>3752</v>
      </c>
      <c r="F62" s="0" t="s">
        <v>3654</v>
      </c>
      <c r="G62" s="0" t="s">
        <v>3753</v>
      </c>
    </row>
    <row customHeight="1" ht="11.25">
      <c r="A63" s="595" t="s">
        <v>14</v>
      </c>
      <c r="B63" s="0" t="s">
        <v>144</v>
      </c>
      <c r="C63" s="0" t="s">
        <v>3741</v>
      </c>
      <c r="D63" s="0" t="s">
        <v>144</v>
      </c>
      <c r="E63" s="0" t="s">
        <v>3741</v>
      </c>
      <c r="F63" s="0" t="s">
        <v>3655</v>
      </c>
      <c r="G63" s="0" t="s">
        <v>3754</v>
      </c>
    </row>
    <row customHeight="1" ht="11.25">
      <c r="A64" s="595" t="s">
        <v>14</v>
      </c>
      <c r="B64" s="0" t="s">
        <v>144</v>
      </c>
      <c r="C64" s="0" t="s">
        <v>3741</v>
      </c>
      <c r="D64" s="0" t="s">
        <v>3755</v>
      </c>
      <c r="E64" s="0" t="s">
        <v>3756</v>
      </c>
      <c r="F64" s="0" t="s">
        <v>3654</v>
      </c>
      <c r="G64" s="0" t="s">
        <v>3757</v>
      </c>
    </row>
    <row customHeight="1" ht="11.25">
      <c r="A65" s="595" t="s">
        <v>14</v>
      </c>
      <c r="B65" s="0" t="s">
        <v>3758</v>
      </c>
      <c r="C65" s="0" t="s">
        <v>3759</v>
      </c>
      <c r="D65" s="0" t="s">
        <v>3758</v>
      </c>
      <c r="E65" s="0" t="s">
        <v>3759</v>
      </c>
      <c r="F65" s="0" t="s">
        <v>3642</v>
      </c>
      <c r="G65" s="0" t="s">
        <v>3760</v>
      </c>
    </row>
    <row customHeight="1" ht="11.25">
      <c r="A66" s="595" t="s">
        <v>14</v>
      </c>
      <c r="B66" s="0" t="s">
        <v>129</v>
      </c>
      <c r="C66" s="0" t="s">
        <v>130</v>
      </c>
      <c r="D66" s="0" t="s">
        <v>129</v>
      </c>
      <c r="E66" s="0" t="s">
        <v>130</v>
      </c>
      <c r="F66" s="0" t="s">
        <v>3642</v>
      </c>
      <c r="G66" s="0" t="s">
        <v>128</v>
      </c>
    </row>
    <row customHeight="1" ht="11.25">
      <c r="A67" s="595" t="s">
        <v>14</v>
      </c>
      <c r="B67" s="0" t="s">
        <v>3761</v>
      </c>
      <c r="C67" s="0" t="s">
        <v>3762</v>
      </c>
      <c r="D67" s="0" t="s">
        <v>3763</v>
      </c>
      <c r="E67" s="0" t="s">
        <v>3764</v>
      </c>
      <c r="F67" s="0" t="s">
        <v>3654</v>
      </c>
      <c r="G67" s="0" t="s">
        <v>2045</v>
      </c>
    </row>
    <row customHeight="1" ht="11.25">
      <c r="A68" s="595" t="s">
        <v>14</v>
      </c>
      <c r="B68" s="0" t="s">
        <v>3761</v>
      </c>
      <c r="C68" s="0" t="s">
        <v>3762</v>
      </c>
      <c r="D68" s="0" t="s">
        <v>3765</v>
      </c>
      <c r="E68" s="0" t="s">
        <v>3766</v>
      </c>
      <c r="F68" s="0" t="s">
        <v>3654</v>
      </c>
      <c r="G68" s="0" t="s">
        <v>3767</v>
      </c>
    </row>
    <row customHeight="1" ht="11.25">
      <c r="A69" s="595" t="s">
        <v>14</v>
      </c>
      <c r="B69" s="0" t="s">
        <v>3761</v>
      </c>
      <c r="C69" s="0" t="s">
        <v>3762</v>
      </c>
      <c r="D69" s="0" t="s">
        <v>3768</v>
      </c>
      <c r="E69" s="0" t="s">
        <v>3769</v>
      </c>
      <c r="F69" s="0" t="s">
        <v>3654</v>
      </c>
      <c r="G69" s="0" t="s">
        <v>2256</v>
      </c>
    </row>
    <row customHeight="1" ht="11.25">
      <c r="A70" s="595" t="s">
        <v>14</v>
      </c>
      <c r="B70" s="0" t="s">
        <v>3761</v>
      </c>
      <c r="C70" s="0" t="s">
        <v>3762</v>
      </c>
      <c r="D70" s="0" t="s">
        <v>3770</v>
      </c>
      <c r="E70" s="0" t="s">
        <v>3771</v>
      </c>
      <c r="F70" s="0" t="s">
        <v>3654</v>
      </c>
      <c r="G70" s="0" t="s">
        <v>3772</v>
      </c>
    </row>
    <row customHeight="1" ht="11.25">
      <c r="A71" s="595" t="s">
        <v>14</v>
      </c>
      <c r="B71" s="0" t="s">
        <v>3761</v>
      </c>
      <c r="C71" s="0" t="s">
        <v>3762</v>
      </c>
      <c r="D71" s="0" t="s">
        <v>3773</v>
      </c>
      <c r="E71" s="0" t="s">
        <v>3774</v>
      </c>
      <c r="F71" s="0" t="s">
        <v>3654</v>
      </c>
      <c r="G71" s="0" t="s">
        <v>3775</v>
      </c>
    </row>
    <row customHeight="1" ht="11.25">
      <c r="A72" s="595" t="s">
        <v>14</v>
      </c>
      <c r="B72" s="0" t="s">
        <v>3761</v>
      </c>
      <c r="C72" s="0" t="s">
        <v>3762</v>
      </c>
      <c r="D72" s="0" t="s">
        <v>3761</v>
      </c>
      <c r="E72" s="0" t="s">
        <v>3762</v>
      </c>
      <c r="F72" s="0" t="s">
        <v>3655</v>
      </c>
      <c r="G72" s="0" t="s">
        <v>3776</v>
      </c>
    </row>
    <row customHeight="1" ht="11.25">
      <c r="A73" s="595" t="s">
        <v>14</v>
      </c>
      <c r="B73" s="0" t="s">
        <v>3761</v>
      </c>
      <c r="C73" s="0" t="s">
        <v>3762</v>
      </c>
      <c r="D73" s="0" t="s">
        <v>3777</v>
      </c>
      <c r="E73" s="0" t="s">
        <v>3778</v>
      </c>
      <c r="F73" s="0" t="s">
        <v>3654</v>
      </c>
      <c r="G73" s="0" t="s">
        <v>3779</v>
      </c>
    </row>
    <row customHeight="1" ht="11.25">
      <c r="A74" s="595" t="s">
        <v>14</v>
      </c>
      <c r="B74" s="0" t="s">
        <v>3761</v>
      </c>
      <c r="C74" s="0" t="s">
        <v>3762</v>
      </c>
      <c r="D74" s="0" t="s">
        <v>3780</v>
      </c>
      <c r="E74" s="0" t="s">
        <v>3781</v>
      </c>
      <c r="F74" s="0" t="s">
        <v>3654</v>
      </c>
      <c r="G74" s="0" t="s">
        <v>3782</v>
      </c>
    </row>
    <row customHeight="1" ht="11.25">
      <c r="A75" s="595" t="s">
        <v>14</v>
      </c>
      <c r="B75" s="0" t="s">
        <v>3761</v>
      </c>
      <c r="C75" s="0" t="s">
        <v>3762</v>
      </c>
      <c r="D75" s="0" t="s">
        <v>3783</v>
      </c>
      <c r="E75" s="0" t="s">
        <v>3784</v>
      </c>
      <c r="F75" s="0" t="s">
        <v>3654</v>
      </c>
      <c r="G75" s="0" t="s">
        <v>3785</v>
      </c>
    </row>
    <row customHeight="1" ht="11.25">
      <c r="A76" s="595" t="s">
        <v>14</v>
      </c>
      <c r="B76" s="0" t="s">
        <v>3786</v>
      </c>
      <c r="C76" s="0" t="s">
        <v>3787</v>
      </c>
      <c r="D76" s="0" t="s">
        <v>3786</v>
      </c>
      <c r="E76" s="0" t="s">
        <v>3787</v>
      </c>
      <c r="F76" s="0" t="s">
        <v>3642</v>
      </c>
      <c r="G76" s="0" t="s">
        <v>3788</v>
      </c>
    </row>
    <row customHeight="1" ht="11.25">
      <c r="A77" s="595" t="s">
        <v>14</v>
      </c>
      <c r="B77" s="0" t="s">
        <v>3789</v>
      </c>
      <c r="C77" s="0" t="s">
        <v>3790</v>
      </c>
      <c r="D77" s="0" t="s">
        <v>3789</v>
      </c>
      <c r="E77" s="0" t="s">
        <v>3790</v>
      </c>
      <c r="F77" s="0" t="s">
        <v>3645</v>
      </c>
      <c r="G77" s="0" t="s">
        <v>3791</v>
      </c>
    </row>
    <row customHeight="1" ht="11.25">
      <c r="A78" s="595" t="s">
        <v>14</v>
      </c>
      <c r="B78" s="0" t="s">
        <v>3792</v>
      </c>
      <c r="C78" s="0" t="s">
        <v>3793</v>
      </c>
      <c r="D78" s="0" t="s">
        <v>3792</v>
      </c>
      <c r="E78" s="0" t="s">
        <v>3793</v>
      </c>
      <c r="F78" s="0" t="s">
        <v>3642</v>
      </c>
      <c r="G78" s="0" t="s">
        <v>3794</v>
      </c>
    </row>
    <row customHeight="1" ht="11.25">
      <c r="A79" s="595" t="s">
        <v>14</v>
      </c>
      <c r="B79" s="0" t="s">
        <v>96</v>
      </c>
      <c r="C79" s="0" t="s">
        <v>97</v>
      </c>
      <c r="D79" s="0" t="s">
        <v>96</v>
      </c>
      <c r="E79" s="0" t="s">
        <v>97</v>
      </c>
      <c r="F79" s="0" t="s">
        <v>3642</v>
      </c>
      <c r="G79" s="0" t="s">
        <v>95</v>
      </c>
    </row>
    <row customHeight="1" ht="11.25">
      <c r="A80" s="595" t="s">
        <v>14</v>
      </c>
      <c r="B80" s="0" t="s">
        <v>3795</v>
      </c>
      <c r="C80" s="0" t="s">
        <v>3796</v>
      </c>
      <c r="D80" s="0" t="s">
        <v>3795</v>
      </c>
      <c r="E80" s="0" t="s">
        <v>3796</v>
      </c>
      <c r="F80" s="0" t="s">
        <v>3642</v>
      </c>
      <c r="G80" s="0" t="s">
        <v>3797</v>
      </c>
    </row>
    <row customHeight="1" ht="11.25">
      <c r="A81" s="595" t="s">
        <v>14</v>
      </c>
      <c r="B81" s="0" t="s">
        <v>154</v>
      </c>
      <c r="C81" s="0" t="s">
        <v>155</v>
      </c>
      <c r="D81" s="0" t="s">
        <v>154</v>
      </c>
      <c r="E81" s="0" t="s">
        <v>155</v>
      </c>
      <c r="F81" s="0" t="s">
        <v>3642</v>
      </c>
      <c r="G81" s="0" t="s">
        <v>153</v>
      </c>
    </row>
    <row customHeight="1" ht="11.25">
      <c r="A82" s="595" t="s">
        <v>14</v>
      </c>
      <c r="B82" s="0" t="s">
        <v>159</v>
      </c>
      <c r="C82" s="0" t="s">
        <v>3798</v>
      </c>
      <c r="D82" s="0" t="s">
        <v>3799</v>
      </c>
      <c r="E82" s="0" t="s">
        <v>3800</v>
      </c>
      <c r="F82" s="0" t="s">
        <v>3654</v>
      </c>
      <c r="G82" s="0" t="s">
        <v>3801</v>
      </c>
    </row>
    <row customHeight="1" ht="11.25">
      <c r="A83" s="595" t="s">
        <v>14</v>
      </c>
      <c r="B83" s="0" t="s">
        <v>159</v>
      </c>
      <c r="C83" s="0" t="s">
        <v>3798</v>
      </c>
      <c r="D83" s="0" t="s">
        <v>3802</v>
      </c>
      <c r="E83" s="0" t="s">
        <v>3803</v>
      </c>
      <c r="F83" s="0" t="s">
        <v>3660</v>
      </c>
      <c r="G83" s="0" t="s">
        <v>3804</v>
      </c>
    </row>
    <row customHeight="1" ht="11.25">
      <c r="A84" s="595" t="s">
        <v>14</v>
      </c>
      <c r="B84" s="0" t="s">
        <v>159</v>
      </c>
      <c r="C84" s="0" t="s">
        <v>3798</v>
      </c>
      <c r="D84" s="0" t="s">
        <v>3805</v>
      </c>
      <c r="E84" s="0" t="s">
        <v>3806</v>
      </c>
      <c r="F84" s="0" t="s">
        <v>3654</v>
      </c>
      <c r="G84" s="0" t="s">
        <v>3807</v>
      </c>
    </row>
    <row customHeight="1" ht="11.25">
      <c r="A85" s="595" t="s">
        <v>14</v>
      </c>
      <c r="B85" s="0" t="s">
        <v>159</v>
      </c>
      <c r="C85" s="0" t="s">
        <v>3798</v>
      </c>
      <c r="D85" s="0" t="s">
        <v>160</v>
      </c>
      <c r="E85" s="0" t="s">
        <v>161</v>
      </c>
      <c r="F85" s="0" t="s">
        <v>3676</v>
      </c>
      <c r="G85" s="0" t="s">
        <v>158</v>
      </c>
    </row>
    <row customHeight="1" ht="11.25">
      <c r="A86" s="595" t="s">
        <v>14</v>
      </c>
      <c r="B86" s="0" t="s">
        <v>159</v>
      </c>
      <c r="C86" s="0" t="s">
        <v>3798</v>
      </c>
      <c r="D86" s="0" t="s">
        <v>3808</v>
      </c>
      <c r="E86" s="0" t="s">
        <v>3809</v>
      </c>
      <c r="F86" s="0" t="s">
        <v>3654</v>
      </c>
      <c r="G86" s="0" t="s">
        <v>3810</v>
      </c>
    </row>
    <row customHeight="1" ht="11.25">
      <c r="A87" s="595" t="s">
        <v>14</v>
      </c>
      <c r="B87" s="0" t="s">
        <v>159</v>
      </c>
      <c r="C87" s="0" t="s">
        <v>3798</v>
      </c>
      <c r="D87" s="0" t="s">
        <v>159</v>
      </c>
      <c r="E87" s="0" t="s">
        <v>3798</v>
      </c>
      <c r="F87" s="0" t="s">
        <v>3655</v>
      </c>
      <c r="G87" s="0" t="s">
        <v>3811</v>
      </c>
    </row>
    <row customHeight="1" ht="11.25">
      <c r="A88" s="595" t="s">
        <v>14</v>
      </c>
      <c r="B88" s="0" t="s">
        <v>159</v>
      </c>
      <c r="C88" s="0" t="s">
        <v>3798</v>
      </c>
      <c r="D88" s="0" t="s">
        <v>3812</v>
      </c>
      <c r="E88" s="0" t="s">
        <v>3813</v>
      </c>
      <c r="F88" s="0" t="s">
        <v>3654</v>
      </c>
      <c r="G88" s="0" t="s">
        <v>3814</v>
      </c>
    </row>
    <row customHeight="1" ht="11.25">
      <c r="A89" s="595" t="s">
        <v>14</v>
      </c>
      <c r="B89" s="0" t="s">
        <v>111</v>
      </c>
      <c r="C89" s="0" t="s">
        <v>112</v>
      </c>
      <c r="D89" s="0" t="s">
        <v>111</v>
      </c>
      <c r="E89" s="0" t="s">
        <v>112</v>
      </c>
      <c r="F89" s="0" t="s">
        <v>3642</v>
      </c>
      <c r="G89" s="0" t="s">
        <v>110</v>
      </c>
    </row>
    <row customHeight="1" ht="11.25">
      <c r="A90" s="595" t="s">
        <v>14</v>
      </c>
      <c r="B90" s="0" t="s">
        <v>3815</v>
      </c>
      <c r="C90" s="0" t="s">
        <v>3816</v>
      </c>
      <c r="D90" s="0" t="s">
        <v>3815</v>
      </c>
      <c r="E90" s="0" t="s">
        <v>3816</v>
      </c>
      <c r="F90" s="0" t="s">
        <v>3642</v>
      </c>
      <c r="G90" s="0" t="s">
        <v>3817</v>
      </c>
    </row>
    <row customHeight="1" ht="11.25">
      <c r="A91" s="595" t="s">
        <v>14</v>
      </c>
      <c r="B91" s="0" t="s">
        <v>103</v>
      </c>
      <c r="C91" s="0" t="s">
        <v>3818</v>
      </c>
      <c r="D91" s="0" t="s">
        <v>3819</v>
      </c>
      <c r="E91" s="0" t="s">
        <v>3820</v>
      </c>
      <c r="F91" s="0" t="s">
        <v>3654</v>
      </c>
      <c r="G91" s="0" t="s">
        <v>3821</v>
      </c>
    </row>
    <row customHeight="1" ht="11.25">
      <c r="A92" s="595" t="s">
        <v>14</v>
      </c>
      <c r="B92" s="0" t="s">
        <v>103</v>
      </c>
      <c r="C92" s="0" t="s">
        <v>3818</v>
      </c>
      <c r="D92" s="0" t="s">
        <v>3822</v>
      </c>
      <c r="E92" s="0" t="s">
        <v>3823</v>
      </c>
      <c r="F92" s="0" t="s">
        <v>3654</v>
      </c>
      <c r="G92" s="0" t="s">
        <v>3824</v>
      </c>
    </row>
    <row customHeight="1" ht="11.25">
      <c r="A93" s="595" t="s">
        <v>14</v>
      </c>
      <c r="B93" s="0" t="s">
        <v>103</v>
      </c>
      <c r="C93" s="0" t="s">
        <v>3818</v>
      </c>
      <c r="D93" s="0" t="s">
        <v>3825</v>
      </c>
      <c r="E93" s="0" t="s">
        <v>3826</v>
      </c>
      <c r="F93" s="0" t="s">
        <v>3654</v>
      </c>
      <c r="G93" s="0" t="s">
        <v>3827</v>
      </c>
    </row>
    <row customHeight="1" ht="11.25">
      <c r="A94" s="595" t="s">
        <v>14</v>
      </c>
      <c r="B94" s="0" t="s">
        <v>103</v>
      </c>
      <c r="C94" s="0" t="s">
        <v>3818</v>
      </c>
      <c r="D94" s="0" t="s">
        <v>104</v>
      </c>
      <c r="E94" s="0" t="s">
        <v>105</v>
      </c>
      <c r="F94" s="0" t="s">
        <v>3676</v>
      </c>
      <c r="G94" s="0" t="s">
        <v>102</v>
      </c>
    </row>
    <row customHeight="1" ht="11.25">
      <c r="A95" s="595" t="s">
        <v>14</v>
      </c>
      <c r="B95" s="0" t="s">
        <v>103</v>
      </c>
      <c r="C95" s="0" t="s">
        <v>3818</v>
      </c>
      <c r="D95" s="0" t="s">
        <v>3828</v>
      </c>
      <c r="E95" s="0" t="s">
        <v>3829</v>
      </c>
      <c r="F95" s="0" t="s">
        <v>3654</v>
      </c>
      <c r="G95" s="0" t="s">
        <v>3830</v>
      </c>
    </row>
    <row customHeight="1" ht="11.25">
      <c r="A96" s="595" t="s">
        <v>14</v>
      </c>
      <c r="B96" s="0" t="s">
        <v>103</v>
      </c>
      <c r="C96" s="0" t="s">
        <v>3818</v>
      </c>
      <c r="D96" s="0" t="s">
        <v>103</v>
      </c>
      <c r="E96" s="0" t="s">
        <v>3818</v>
      </c>
      <c r="F96" s="0" t="s">
        <v>3655</v>
      </c>
      <c r="G96" s="0" t="s">
        <v>3831</v>
      </c>
    </row>
    <row customHeight="1" ht="11.25">
      <c r="A97" s="595" t="s">
        <v>14</v>
      </c>
      <c r="B97" s="0" t="s">
        <v>103</v>
      </c>
      <c r="C97" s="0" t="s">
        <v>3818</v>
      </c>
      <c r="D97" s="0" t="s">
        <v>3832</v>
      </c>
      <c r="E97" s="0" t="s">
        <v>3833</v>
      </c>
      <c r="F97" s="0" t="s">
        <v>3676</v>
      </c>
      <c r="G97" s="0" t="s">
        <v>3834</v>
      </c>
    </row>
    <row customHeight="1" ht="11.25">
      <c r="A98" s="595" t="s">
        <v>14</v>
      </c>
      <c r="B98" s="0" t="s">
        <v>103</v>
      </c>
      <c r="C98" s="0" t="s">
        <v>3818</v>
      </c>
      <c r="D98" s="0" t="s">
        <v>3835</v>
      </c>
      <c r="E98" s="0" t="s">
        <v>3836</v>
      </c>
      <c r="F98" s="0" t="s">
        <v>3654</v>
      </c>
      <c r="G98" s="0" t="s">
        <v>3837</v>
      </c>
    </row>
    <row customHeight="1" ht="11.25">
      <c r="A99" s="595" t="s">
        <v>14</v>
      </c>
      <c r="B99" s="0" t="s">
        <v>3838</v>
      </c>
      <c r="C99" s="0" t="s">
        <v>3839</v>
      </c>
      <c r="D99" s="0" t="s">
        <v>3838</v>
      </c>
      <c r="E99" s="0" t="s">
        <v>3839</v>
      </c>
      <c r="F99" s="0" t="s">
        <v>3642</v>
      </c>
      <c r="G99" s="0" t="s">
        <v>3840</v>
      </c>
    </row>
    <row customHeight="1" ht="11.25">
      <c r="A100" s="595" t="s">
        <v>14</v>
      </c>
      <c r="B100" s="0" t="s">
        <v>3841</v>
      </c>
      <c r="C100" s="0" t="s">
        <v>3842</v>
      </c>
      <c r="D100" s="0" t="s">
        <v>3843</v>
      </c>
      <c r="E100" s="0" t="s">
        <v>3844</v>
      </c>
      <c r="F100" s="0" t="s">
        <v>3654</v>
      </c>
      <c r="G100" s="0" t="s">
        <v>3845</v>
      </c>
    </row>
    <row customHeight="1" ht="11.25">
      <c r="A101" s="595" t="s">
        <v>14</v>
      </c>
      <c r="B101" s="0" t="s">
        <v>3841</v>
      </c>
      <c r="C101" s="0" t="s">
        <v>3842</v>
      </c>
      <c r="D101" s="0" t="s">
        <v>3846</v>
      </c>
      <c r="E101" s="0" t="s">
        <v>3847</v>
      </c>
      <c r="F101" s="0" t="s">
        <v>3654</v>
      </c>
      <c r="G101" s="0" t="s">
        <v>3848</v>
      </c>
    </row>
    <row customHeight="1" ht="11.25">
      <c r="A102" s="595" t="s">
        <v>14</v>
      </c>
      <c r="B102" s="0" t="s">
        <v>3841</v>
      </c>
      <c r="C102" s="0" t="s">
        <v>3842</v>
      </c>
      <c r="D102" s="0" t="s">
        <v>3849</v>
      </c>
      <c r="E102" s="0" t="s">
        <v>3850</v>
      </c>
      <c r="F102" s="0" t="s">
        <v>3654</v>
      </c>
      <c r="G102" s="0" t="s">
        <v>3851</v>
      </c>
    </row>
    <row customHeight="1" ht="11.25">
      <c r="A103" s="595" t="s">
        <v>14</v>
      </c>
      <c r="B103" s="0" t="s">
        <v>3841</v>
      </c>
      <c r="C103" s="0" t="s">
        <v>3842</v>
      </c>
      <c r="D103" s="0" t="s">
        <v>3852</v>
      </c>
      <c r="E103" s="0" t="s">
        <v>3853</v>
      </c>
      <c r="F103" s="0" t="s">
        <v>3654</v>
      </c>
      <c r="G103" s="0" t="s">
        <v>3854</v>
      </c>
    </row>
    <row customHeight="1" ht="11.25">
      <c r="A104" s="595" t="s">
        <v>14</v>
      </c>
      <c r="B104" s="0" t="s">
        <v>3841</v>
      </c>
      <c r="C104" s="0" t="s">
        <v>3842</v>
      </c>
      <c r="D104" s="0" t="s">
        <v>3841</v>
      </c>
      <c r="E104" s="0" t="s">
        <v>3842</v>
      </c>
      <c r="F104" s="0" t="s">
        <v>3655</v>
      </c>
      <c r="G104" s="0" t="s">
        <v>3855</v>
      </c>
    </row>
    <row customHeight="1" ht="11.25">
      <c r="A105" s="595" t="s">
        <v>14</v>
      </c>
      <c r="B105" s="0" t="s">
        <v>3841</v>
      </c>
      <c r="C105" s="0" t="s">
        <v>3842</v>
      </c>
      <c r="D105" s="0" t="s">
        <v>3856</v>
      </c>
      <c r="E105" s="0" t="s">
        <v>3857</v>
      </c>
      <c r="F105" s="0" t="s">
        <v>3654</v>
      </c>
      <c r="G105" s="0" t="s">
        <v>3858</v>
      </c>
    </row>
    <row customHeight="1" ht="11.25">
      <c r="A106" s="595" t="s">
        <v>14</v>
      </c>
      <c r="B106" s="0" t="s">
        <v>3859</v>
      </c>
      <c r="C106" s="0" t="s">
        <v>3860</v>
      </c>
      <c r="D106" s="0" t="s">
        <v>3859</v>
      </c>
      <c r="E106" s="0" t="s">
        <v>3860</v>
      </c>
      <c r="F106" s="0" t="s">
        <v>3645</v>
      </c>
      <c r="G106" s="0" t="s">
        <v>3861</v>
      </c>
    </row>
    <row customHeight="1" ht="11.25">
      <c r="A107" s="595" t="s">
        <v>14</v>
      </c>
      <c r="B107" s="0" t="s">
        <v>3862</v>
      </c>
      <c r="C107" s="0" t="s">
        <v>3863</v>
      </c>
      <c r="D107" s="0" t="s">
        <v>3862</v>
      </c>
      <c r="E107" s="0" t="s">
        <v>3863</v>
      </c>
      <c r="F107" s="0" t="s">
        <v>3645</v>
      </c>
      <c r="G107" s="0" t="s">
        <v>3864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BAADCF-231E-D46C-6EA6-3CEDFC8A60C3}"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23018" width="13.8515625" customWidth="1"/>
    <col min="2" max="2" style="23018" width="10.421875" customWidth="1"/>
    <col min="3" max="3" style="23019" width="7.57421875" customWidth="1"/>
    <col min="4" max="4" style="23018" width="13.8515625" customWidth="1"/>
    <col min="5" max="5" style="23018" width="11.57421875" customWidth="1"/>
    <col min="6" max="6" style="23018" width="16.28125" customWidth="1"/>
    <col min="7" max="7" style="23018" width="16.00390625" customWidth="1"/>
    <col min="8" max="9" style="23018" width="16.140625" customWidth="1"/>
  </cols>
  <sheetData>
    <row customHeight="1" ht="11.25">
      <c r="A1" s="1057" t="s">
        <v>3865</v>
      </c>
      <c r="B1" s="1057" t="s">
        <v>3866</v>
      </c>
      <c r="C1" s="1383" t="s">
        <v>3867</v>
      </c>
      <c r="D1" s="1057" t="s">
        <v>3868</v>
      </c>
      <c r="E1" s="1057" t="s">
        <v>3869</v>
      </c>
      <c r="F1" s="1383" t="s">
        <v>3870</v>
      </c>
      <c r="G1" s="1383" t="s">
        <v>3871</v>
      </c>
      <c r="H1" s="1383" t="s">
        <v>3872</v>
      </c>
      <c r="I1" s="1383" t="s">
        <v>3873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A5A94A-70CA-7768-FD5B-9E823399645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4319BF-CFA2-AC1F-7841-DCAF98C222A1}" mc:Ignorable="x14ac xr xr2 xr3">
  <sheetPr>
    <tabColor rgb="FFFFCC99"/>
  </sheetPr>
  <dimension ref="A1:B15"/>
  <sheetViews>
    <sheetView topLeftCell="A1" showGridLines="0" workbookViewId="0">
      <selection activeCell="A1" sqref="A1"/>
    </sheetView>
  </sheetViews>
  <sheetFormatPr defaultColWidth="9.140625" customHeight="1" defaultRowHeight="11.25"/>
  <cols>
    <col min="1" max="2" style="79" width="9.140625"/>
  </cols>
  <sheetData>
    <row customHeight="1" ht="11.25">
      <c r="A1" s="79" t="s">
        <v>186</v>
      </c>
      <c r="B1" s="79" t="s">
        <v>3874</v>
      </c>
    </row>
    <row customHeight="1" ht="11.25">
      <c r="A2" s="79" t="s">
        <v>94</v>
      </c>
      <c r="B2" s="79" t="s">
        <v>3875</v>
      </c>
    </row>
    <row customHeight="1" ht="11.25">
      <c r="A3" s="79" t="s">
        <v>101</v>
      </c>
      <c r="B3" s="79" t="s">
        <v>3876</v>
      </c>
    </row>
    <row customHeight="1" ht="11.25">
      <c r="A4" s="79" t="s">
        <v>106</v>
      </c>
      <c r="B4" s="79" t="s">
        <v>3877</v>
      </c>
    </row>
    <row customHeight="1" ht="11.25">
      <c r="A5" s="79" t="s">
        <v>109</v>
      </c>
      <c r="B5" s="79" t="s">
        <v>3878</v>
      </c>
    </row>
    <row customHeight="1" ht="11.25">
      <c r="A6" s="79" t="s">
        <v>114</v>
      </c>
      <c r="B6" s="79" t="s">
        <v>3879</v>
      </c>
    </row>
    <row customHeight="1" ht="11.25">
      <c r="A7" s="79" t="s">
        <v>119</v>
      </c>
      <c r="B7" s="79" t="s">
        <v>3880</v>
      </c>
    </row>
    <row customHeight="1" ht="11.25">
      <c r="A8" s="79" t="s">
        <v>122</v>
      </c>
      <c r="B8" s="79" t="s">
        <v>3881</v>
      </c>
    </row>
    <row customHeight="1" ht="11.25">
      <c r="A9" s="79" t="s">
        <v>127</v>
      </c>
      <c r="B9" s="79" t="s">
        <v>3882</v>
      </c>
    </row>
    <row customHeight="1" ht="11.25">
      <c r="A10" s="79" t="s">
        <v>132</v>
      </c>
      <c r="B10" s="79" t="s">
        <v>3883</v>
      </c>
    </row>
    <row customHeight="1" ht="11.25">
      <c r="A11" s="79" t="s">
        <v>137</v>
      </c>
      <c r="B11" s="79" t="s">
        <v>3884</v>
      </c>
    </row>
    <row customHeight="1" ht="11.25">
      <c r="A12" s="79" t="s">
        <v>142</v>
      </c>
      <c r="B12" s="79" t="s">
        <v>3885</v>
      </c>
    </row>
    <row customHeight="1" ht="11.25">
      <c r="A13" s="79" t="s">
        <v>148</v>
      </c>
      <c r="B13" s="79" t="s">
        <v>3886</v>
      </c>
    </row>
    <row customHeight="1" ht="11.25">
      <c r="A14" s="79" t="s">
        <v>152</v>
      </c>
      <c r="B14" s="79" t="s">
        <v>3887</v>
      </c>
    </row>
    <row customHeight="1" ht="11.25">
      <c r="A15" s="79" t="s">
        <v>157</v>
      </c>
      <c r="B15" s="79" t="s">
        <v>3888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990E17-4386-F074-4CCE-F25731BB3BF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3018" width="9.140625"/>
    <col min="2" max="2" style="23018" width="65.28125" customWidth="1"/>
  </cols>
  <sheetData>
    <row customHeight="1" ht="11.25">
      <c r="A1" s="1057" t="s">
        <v>3889</v>
      </c>
      <c r="B1" s="1057" t="s">
        <v>3890</v>
      </c>
    </row>
    <row customHeight="1" ht="11.25">
      <c r="A2" s="1057">
        <v>4213775</v>
      </c>
      <c r="B2" s="1057" t="s">
        <v>1250</v>
      </c>
    </row>
    <row customHeight="1" ht="11.25">
      <c r="A3" s="1057">
        <v>4213784</v>
      </c>
      <c r="B3" s="1057" t="s">
        <v>1283</v>
      </c>
    </row>
    <row customHeight="1" ht="11.25">
      <c r="A4" s="1057">
        <v>4213781</v>
      </c>
      <c r="B4" s="1057" t="s">
        <v>1276</v>
      </c>
    </row>
    <row customHeight="1" ht="11.25">
      <c r="A5" s="1057">
        <v>4213776</v>
      </c>
      <c r="B5" s="1057" t="s">
        <v>216</v>
      </c>
    </row>
    <row customHeight="1" ht="11.25">
      <c r="A6" s="1057">
        <v>4213777</v>
      </c>
      <c r="B6" s="1057" t="s">
        <v>222</v>
      </c>
    </row>
    <row customHeight="1" ht="11.25">
      <c r="A7" s="1057">
        <v>4213778</v>
      </c>
      <c r="B7" s="1057" t="s">
        <v>228</v>
      </c>
    </row>
    <row customHeight="1" ht="11.25">
      <c r="A8" s="1057">
        <v>4213780</v>
      </c>
      <c r="B8" s="1057" t="s">
        <v>234</v>
      </c>
    </row>
    <row customHeight="1" ht="11.25">
      <c r="A9" s="1057">
        <v>4213779</v>
      </c>
      <c r="B9" s="1057" t="s">
        <v>1417</v>
      </c>
    </row>
    <row customHeight="1" ht="11.25">
      <c r="A10" s="1057">
        <v>4213783</v>
      </c>
      <c r="B10" s="1057" t="s">
        <v>252</v>
      </c>
    </row>
    <row customHeight="1" ht="11.25">
      <c r="A11" s="1057">
        <v>4213782</v>
      </c>
      <c r="B11" s="1057" t="s">
        <v>240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57EE41-E32B-7E21-F1D3-EA64E8EB75F9}"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23018" width="9.140625"/>
    <col min="2" max="2" style="23018" width="65.28125" customWidth="1"/>
  </cols>
  <sheetData>
    <row customHeight="1" ht="11.25">
      <c r="A1" s="1057" t="s">
        <v>3889</v>
      </c>
      <c r="B1" s="1057" t="s">
        <v>3891</v>
      </c>
    </row>
    <row customHeight="1" ht="11.25">
      <c r="A2" s="1057" t="s">
        <v>3892</v>
      </c>
      <c r="B2" s="1057" t="s">
        <v>1530</v>
      </c>
    </row>
    <row customHeight="1" ht="11.25">
      <c r="A3" s="1057" t="s">
        <v>3893</v>
      </c>
      <c r="B3" s="1057" t="s">
        <v>1540</v>
      </c>
    </row>
    <row customHeight="1" ht="11.25">
      <c r="A4" s="1057" t="s">
        <v>3894</v>
      </c>
      <c r="B4" s="1057" t="s">
        <v>1548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78E9CF-5195-E7D2-A5B5-0E4FAA6DC47A}"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595" t="s">
        <v>3633</v>
      </c>
      <c r="B1" s="595" t="s">
        <v>3634</v>
      </c>
      <c r="C1" s="595" t="s">
        <v>3635</v>
      </c>
      <c r="D1" s="595" t="s">
        <v>3636</v>
      </c>
      <c r="E1" s="0" t="s">
        <v>3637</v>
      </c>
      <c r="F1" s="0" t="s">
        <v>3638</v>
      </c>
      <c r="G1" s="0" t="s">
        <v>3639</v>
      </c>
    </row>
    <row customHeight="1" ht="11.25">
      <c r="A2" s="0" t="s">
        <v>14</v>
      </c>
      <c r="B2" s="0" t="s">
        <v>3640</v>
      </c>
      <c r="C2" s="0" t="s">
        <v>3641</v>
      </c>
      <c r="D2" s="0" t="s">
        <v>3640</v>
      </c>
      <c r="E2" s="0" t="s">
        <v>3641</v>
      </c>
      <c r="F2" s="0" t="s">
        <v>3642</v>
      </c>
      <c r="G2" s="0" t="s">
        <v>168</v>
      </c>
    </row>
    <row customHeight="1" ht="11.25">
      <c r="A3" s="0" t="s">
        <v>14</v>
      </c>
      <c r="B3" s="0" t="s">
        <v>3643</v>
      </c>
      <c r="C3" s="0" t="s">
        <v>3644</v>
      </c>
      <c r="D3" s="0" t="s">
        <v>3643</v>
      </c>
      <c r="E3" s="0" t="s">
        <v>3644</v>
      </c>
      <c r="F3" s="0" t="s">
        <v>3645</v>
      </c>
      <c r="G3" s="0" t="s">
        <v>99</v>
      </c>
    </row>
    <row customHeight="1" ht="11.25">
      <c r="A4" s="0" t="s">
        <v>14</v>
      </c>
      <c r="B4" s="0" t="s">
        <v>3646</v>
      </c>
      <c r="C4" s="0" t="s">
        <v>3647</v>
      </c>
      <c r="D4" s="0" t="s">
        <v>3646</v>
      </c>
      <c r="E4" s="0" t="s">
        <v>3647</v>
      </c>
      <c r="F4" s="0" t="s">
        <v>3645</v>
      </c>
      <c r="G4" s="0" t="s">
        <v>86</v>
      </c>
    </row>
    <row customHeight="1" ht="11.25">
      <c r="A5" s="0" t="s">
        <v>14</v>
      </c>
      <c r="B5" s="0" t="s">
        <v>107</v>
      </c>
      <c r="C5" s="0" t="s">
        <v>108</v>
      </c>
      <c r="D5" s="0" t="s">
        <v>107</v>
      </c>
      <c r="E5" s="0" t="s">
        <v>108</v>
      </c>
      <c r="F5" s="0" t="s">
        <v>3645</v>
      </c>
      <c r="G5" s="0" t="s">
        <v>87</v>
      </c>
    </row>
    <row customHeight="1" ht="11.25">
      <c r="A6" s="0" t="s">
        <v>14</v>
      </c>
      <c r="B6" s="0" t="s">
        <v>149</v>
      </c>
      <c r="C6" s="0" t="s">
        <v>150</v>
      </c>
      <c r="D6" s="0" t="s">
        <v>149</v>
      </c>
      <c r="E6" s="0" t="s">
        <v>150</v>
      </c>
      <c r="F6" s="0" t="s">
        <v>3645</v>
      </c>
      <c r="G6" s="0" t="s">
        <v>113</v>
      </c>
    </row>
    <row customHeight="1" ht="11.25">
      <c r="A7" s="0" t="s">
        <v>14</v>
      </c>
      <c r="B7" s="0" t="s">
        <v>3648</v>
      </c>
      <c r="C7" s="0" t="s">
        <v>3649</v>
      </c>
      <c r="D7" s="0" t="s">
        <v>3648</v>
      </c>
      <c r="E7" s="0" t="s">
        <v>3649</v>
      </c>
      <c r="F7" s="0" t="s">
        <v>3645</v>
      </c>
      <c r="G7" s="0" t="s">
        <v>88</v>
      </c>
    </row>
    <row customHeight="1" ht="11.25">
      <c r="A8" s="0" t="s">
        <v>14</v>
      </c>
      <c r="B8" s="0" t="s">
        <v>120</v>
      </c>
      <c r="C8" s="0" t="s">
        <v>121</v>
      </c>
      <c r="D8" s="0" t="s">
        <v>120</v>
      </c>
      <c r="E8" s="0" t="s">
        <v>121</v>
      </c>
      <c r="F8" s="0" t="s">
        <v>3645</v>
      </c>
      <c r="G8" s="0" t="s">
        <v>89</v>
      </c>
    </row>
    <row customHeight="1" ht="11.25">
      <c r="A9" s="0" t="s">
        <v>14</v>
      </c>
      <c r="B9" s="0" t="s">
        <v>3650</v>
      </c>
      <c r="C9" s="0" t="s">
        <v>3651</v>
      </c>
      <c r="D9" s="0" t="s">
        <v>3652</v>
      </c>
      <c r="E9" s="0" t="s">
        <v>3653</v>
      </c>
      <c r="F9" s="0" t="s">
        <v>3654</v>
      </c>
      <c r="G9" s="0" t="s">
        <v>126</v>
      </c>
    </row>
    <row customHeight="1" ht="11.25">
      <c r="A10" s="0" t="s">
        <v>14</v>
      </c>
      <c r="B10" s="0" t="s">
        <v>3650</v>
      </c>
      <c r="C10" s="0" t="s">
        <v>3651</v>
      </c>
      <c r="D10" s="0" t="s">
        <v>3650</v>
      </c>
      <c r="E10" s="0" t="s">
        <v>3651</v>
      </c>
      <c r="F10" s="0" t="s">
        <v>3655</v>
      </c>
      <c r="G10" s="0" t="s">
        <v>131</v>
      </c>
    </row>
    <row customHeight="1" ht="11.25">
      <c r="A11" s="0" t="s">
        <v>14</v>
      </c>
      <c r="B11" s="0" t="s">
        <v>3650</v>
      </c>
      <c r="C11" s="0" t="s">
        <v>3651</v>
      </c>
      <c r="D11" s="0" t="s">
        <v>3656</v>
      </c>
      <c r="E11" s="0" t="s">
        <v>3657</v>
      </c>
      <c r="F11" s="0" t="s">
        <v>3654</v>
      </c>
      <c r="G11" s="0" t="s">
        <v>136</v>
      </c>
    </row>
    <row customHeight="1" ht="11.25">
      <c r="A12" s="0" t="s">
        <v>14</v>
      </c>
      <c r="B12" s="0" t="s">
        <v>3650</v>
      </c>
      <c r="C12" s="0" t="s">
        <v>3651</v>
      </c>
      <c r="D12" s="0" t="s">
        <v>3658</v>
      </c>
      <c r="E12" s="0" t="s">
        <v>3659</v>
      </c>
      <c r="F12" s="0" t="s">
        <v>3660</v>
      </c>
      <c r="G12" s="0" t="s">
        <v>141</v>
      </c>
    </row>
    <row customHeight="1" ht="11.25">
      <c r="A13" s="0" t="s">
        <v>14</v>
      </c>
      <c r="B13" s="0" t="s">
        <v>3650</v>
      </c>
      <c r="C13" s="0" t="s">
        <v>3651</v>
      </c>
      <c r="D13" s="0" t="s">
        <v>3661</v>
      </c>
      <c r="E13" s="0" t="s">
        <v>3662</v>
      </c>
      <c r="F13" s="0" t="s">
        <v>3654</v>
      </c>
      <c r="G13" s="0" t="s">
        <v>147</v>
      </c>
    </row>
    <row customHeight="1" ht="11.25">
      <c r="A14" s="0" t="s">
        <v>14</v>
      </c>
      <c r="B14" s="0" t="s">
        <v>3650</v>
      </c>
      <c r="C14" s="0" t="s">
        <v>3651</v>
      </c>
      <c r="D14" s="0" t="s">
        <v>3663</v>
      </c>
      <c r="E14" s="0" t="s">
        <v>3664</v>
      </c>
      <c r="F14" s="0" t="s">
        <v>3654</v>
      </c>
      <c r="G14" s="0" t="s">
        <v>151</v>
      </c>
    </row>
    <row customHeight="1" ht="11.25">
      <c r="A15" s="0" t="s">
        <v>14</v>
      </c>
      <c r="B15" s="0" t="s">
        <v>3650</v>
      </c>
      <c r="C15" s="0" t="s">
        <v>3651</v>
      </c>
      <c r="D15" s="0" t="s">
        <v>3665</v>
      </c>
      <c r="E15" s="0" t="s">
        <v>3666</v>
      </c>
      <c r="F15" s="0" t="s">
        <v>3654</v>
      </c>
      <c r="G15" s="0" t="s">
        <v>156</v>
      </c>
    </row>
    <row customHeight="1" ht="11.25">
      <c r="A16" s="0" t="s">
        <v>14</v>
      </c>
      <c r="B16" s="0" t="s">
        <v>3650</v>
      </c>
      <c r="C16" s="0" t="s">
        <v>3651</v>
      </c>
      <c r="D16" s="0" t="s">
        <v>3667</v>
      </c>
      <c r="E16" s="0" t="s">
        <v>3668</v>
      </c>
      <c r="F16" s="0" t="s">
        <v>3654</v>
      </c>
      <c r="G16" s="0" t="s">
        <v>1491</v>
      </c>
    </row>
    <row customHeight="1" ht="11.25">
      <c r="A17" s="0" t="s">
        <v>14</v>
      </c>
      <c r="B17" s="0" t="s">
        <v>3669</v>
      </c>
      <c r="C17" s="0" t="s">
        <v>3670</v>
      </c>
      <c r="D17" s="0" t="s">
        <v>3669</v>
      </c>
      <c r="E17" s="0" t="s">
        <v>3670</v>
      </c>
      <c r="F17" s="0" t="s">
        <v>3642</v>
      </c>
      <c r="G17" s="0" t="s">
        <v>1497</v>
      </c>
    </row>
    <row customHeight="1" ht="11.25">
      <c r="A18" s="0" t="s">
        <v>14</v>
      </c>
      <c r="B18" s="0" t="s">
        <v>116</v>
      </c>
      <c r="C18" s="0" t="s">
        <v>3671</v>
      </c>
      <c r="D18" s="0" t="s">
        <v>3672</v>
      </c>
      <c r="E18" s="0" t="s">
        <v>3673</v>
      </c>
      <c r="F18" s="0" t="s">
        <v>3654</v>
      </c>
      <c r="G18" s="0" t="s">
        <v>1508</v>
      </c>
    </row>
    <row customHeight="1" ht="11.25">
      <c r="A19" s="0" t="s">
        <v>14</v>
      </c>
      <c r="B19" s="0" t="s">
        <v>116</v>
      </c>
      <c r="C19" s="0" t="s">
        <v>3671</v>
      </c>
      <c r="D19" s="0" t="s">
        <v>3674</v>
      </c>
      <c r="E19" s="0" t="s">
        <v>3675</v>
      </c>
      <c r="F19" s="0" t="s">
        <v>3676</v>
      </c>
      <c r="G19" s="0" t="s">
        <v>1522</v>
      </c>
    </row>
    <row customHeight="1" ht="11.25">
      <c r="A20" s="0" t="s">
        <v>14</v>
      </c>
      <c r="B20" s="0" t="s">
        <v>116</v>
      </c>
      <c r="C20" s="0" t="s">
        <v>3671</v>
      </c>
      <c r="D20" s="0" t="s">
        <v>116</v>
      </c>
      <c r="E20" s="0" t="s">
        <v>3671</v>
      </c>
      <c r="F20" s="0" t="s">
        <v>3655</v>
      </c>
      <c r="G20" s="0" t="s">
        <v>1534</v>
      </c>
    </row>
    <row customHeight="1" ht="11.25">
      <c r="A21" s="0" t="s">
        <v>14</v>
      </c>
      <c r="B21" s="0" t="s">
        <v>116</v>
      </c>
      <c r="C21" s="0" t="s">
        <v>3671</v>
      </c>
      <c r="D21" s="0" t="s">
        <v>117</v>
      </c>
      <c r="E21" s="0" t="s">
        <v>118</v>
      </c>
      <c r="F21" s="0" t="s">
        <v>3676</v>
      </c>
      <c r="G21" s="0" t="s">
        <v>115</v>
      </c>
    </row>
    <row customHeight="1" ht="11.25">
      <c r="A22" s="0" t="s">
        <v>14</v>
      </c>
      <c r="B22" s="0" t="s">
        <v>116</v>
      </c>
      <c r="C22" s="0" t="s">
        <v>3671</v>
      </c>
      <c r="D22" s="0" t="s">
        <v>3677</v>
      </c>
      <c r="E22" s="0" t="s">
        <v>3678</v>
      </c>
      <c r="F22" s="0" t="s">
        <v>3654</v>
      </c>
      <c r="G22" s="0" t="s">
        <v>1558</v>
      </c>
    </row>
    <row customHeight="1" ht="11.25">
      <c r="A23" s="0" t="s">
        <v>14</v>
      </c>
      <c r="B23" s="0" t="s">
        <v>116</v>
      </c>
      <c r="C23" s="0" t="s">
        <v>3671</v>
      </c>
      <c r="D23" s="0" t="s">
        <v>3679</v>
      </c>
      <c r="E23" s="0" t="s">
        <v>3680</v>
      </c>
      <c r="F23" s="0" t="s">
        <v>3660</v>
      </c>
      <c r="G23" s="0" t="s">
        <v>1565</v>
      </c>
    </row>
    <row customHeight="1" ht="11.25">
      <c r="A24" s="0" t="s">
        <v>14</v>
      </c>
      <c r="B24" s="0" t="s">
        <v>116</v>
      </c>
      <c r="C24" s="0" t="s">
        <v>3671</v>
      </c>
      <c r="D24" s="0" t="s">
        <v>3681</v>
      </c>
      <c r="E24" s="0" t="s">
        <v>3682</v>
      </c>
      <c r="F24" s="0" t="s">
        <v>3654</v>
      </c>
      <c r="G24" s="0" t="s">
        <v>1573</v>
      </c>
    </row>
    <row customHeight="1" ht="11.25">
      <c r="A25" s="0" t="s">
        <v>14</v>
      </c>
      <c r="B25" s="0" t="s">
        <v>116</v>
      </c>
      <c r="C25" s="0" t="s">
        <v>3671</v>
      </c>
      <c r="D25" s="0" t="s">
        <v>3683</v>
      </c>
      <c r="E25" s="0" t="s">
        <v>3684</v>
      </c>
      <c r="F25" s="0" t="s">
        <v>3654</v>
      </c>
      <c r="G25" s="0" t="s">
        <v>1580</v>
      </c>
    </row>
    <row customHeight="1" ht="11.25">
      <c r="A26" s="0" t="s">
        <v>14</v>
      </c>
      <c r="B26" s="0" t="s">
        <v>3685</v>
      </c>
      <c r="C26" s="0" t="s">
        <v>3686</v>
      </c>
      <c r="D26" s="0" t="s">
        <v>3685</v>
      </c>
      <c r="E26" s="0" t="s">
        <v>3686</v>
      </c>
      <c r="F26" s="0" t="s">
        <v>3642</v>
      </c>
      <c r="G26" s="0" t="s">
        <v>1584</v>
      </c>
    </row>
    <row customHeight="1" ht="11.25">
      <c r="A27" s="0" t="s">
        <v>14</v>
      </c>
      <c r="B27" s="0" t="s">
        <v>3687</v>
      </c>
      <c r="C27" s="0" t="s">
        <v>3688</v>
      </c>
      <c r="D27" s="0" t="s">
        <v>3689</v>
      </c>
      <c r="E27" s="0" t="s">
        <v>3690</v>
      </c>
      <c r="F27" s="0" t="s">
        <v>3676</v>
      </c>
      <c r="G27" s="0" t="s">
        <v>1589</v>
      </c>
    </row>
    <row customHeight="1" ht="11.25">
      <c r="A28" s="0" t="s">
        <v>14</v>
      </c>
      <c r="B28" s="0" t="s">
        <v>3687</v>
      </c>
      <c r="C28" s="0" t="s">
        <v>3688</v>
      </c>
      <c r="D28" s="0" t="s">
        <v>3691</v>
      </c>
      <c r="E28" s="0" t="s">
        <v>3692</v>
      </c>
      <c r="F28" s="0" t="s">
        <v>3654</v>
      </c>
      <c r="G28" s="0" t="s">
        <v>1597</v>
      </c>
    </row>
    <row customHeight="1" ht="11.25">
      <c r="A29" s="0" t="s">
        <v>14</v>
      </c>
      <c r="B29" s="0" t="s">
        <v>3687</v>
      </c>
      <c r="C29" s="0" t="s">
        <v>3688</v>
      </c>
      <c r="D29" s="0" t="s">
        <v>3693</v>
      </c>
      <c r="E29" s="0" t="s">
        <v>3694</v>
      </c>
      <c r="F29" s="0" t="s">
        <v>3654</v>
      </c>
      <c r="G29" s="0" t="s">
        <v>1599</v>
      </c>
    </row>
    <row customHeight="1" ht="11.25">
      <c r="A30" s="0" t="s">
        <v>14</v>
      </c>
      <c r="B30" s="0" t="s">
        <v>3687</v>
      </c>
      <c r="C30" s="0" t="s">
        <v>3688</v>
      </c>
      <c r="D30" s="0" t="s">
        <v>3695</v>
      </c>
      <c r="E30" s="0" t="s">
        <v>3696</v>
      </c>
      <c r="F30" s="0" t="s">
        <v>3654</v>
      </c>
      <c r="G30" s="0" t="s">
        <v>1602</v>
      </c>
    </row>
    <row customHeight="1" ht="11.25">
      <c r="A31" s="0" t="s">
        <v>14</v>
      </c>
      <c r="B31" s="0" t="s">
        <v>3687</v>
      </c>
      <c r="C31" s="0" t="s">
        <v>3688</v>
      </c>
      <c r="D31" s="0" t="s">
        <v>3697</v>
      </c>
      <c r="E31" s="0" t="s">
        <v>3698</v>
      </c>
      <c r="F31" s="0" t="s">
        <v>3654</v>
      </c>
      <c r="G31" s="0" t="s">
        <v>1608</v>
      </c>
    </row>
    <row customHeight="1" ht="11.25">
      <c r="A32" s="0" t="s">
        <v>14</v>
      </c>
      <c r="B32" s="0" t="s">
        <v>3687</v>
      </c>
      <c r="C32" s="0" t="s">
        <v>3688</v>
      </c>
      <c r="D32" s="0" t="s">
        <v>3687</v>
      </c>
      <c r="E32" s="0" t="s">
        <v>3688</v>
      </c>
      <c r="F32" s="0" t="s">
        <v>3655</v>
      </c>
      <c r="G32" s="0" t="s">
        <v>1610</v>
      </c>
    </row>
    <row customHeight="1" ht="11.25">
      <c r="A33" s="0" t="s">
        <v>14</v>
      </c>
      <c r="B33" s="0" t="s">
        <v>3687</v>
      </c>
      <c r="C33" s="0" t="s">
        <v>3688</v>
      </c>
      <c r="D33" s="0" t="s">
        <v>3699</v>
      </c>
      <c r="E33" s="0" t="s">
        <v>3700</v>
      </c>
      <c r="F33" s="0" t="s">
        <v>3654</v>
      </c>
      <c r="G33" s="0" t="s">
        <v>1612</v>
      </c>
    </row>
    <row customHeight="1" ht="11.25">
      <c r="A34" s="0" t="s">
        <v>14</v>
      </c>
      <c r="B34" s="0" t="s">
        <v>3687</v>
      </c>
      <c r="C34" s="0" t="s">
        <v>3688</v>
      </c>
      <c r="D34" s="0" t="s">
        <v>3701</v>
      </c>
      <c r="E34" s="0" t="s">
        <v>3702</v>
      </c>
      <c r="F34" s="0" t="s">
        <v>3654</v>
      </c>
      <c r="G34" s="0" t="s">
        <v>1614</v>
      </c>
    </row>
    <row customHeight="1" ht="11.25">
      <c r="A35" s="0" t="s">
        <v>14</v>
      </c>
      <c r="B35" s="0" t="s">
        <v>3687</v>
      </c>
      <c r="C35" s="0" t="s">
        <v>3688</v>
      </c>
      <c r="D35" s="0" t="s">
        <v>3703</v>
      </c>
      <c r="E35" s="0" t="s">
        <v>3704</v>
      </c>
      <c r="F35" s="0" t="s">
        <v>3654</v>
      </c>
      <c r="G35" s="0" t="s">
        <v>1619</v>
      </c>
    </row>
    <row customHeight="1" ht="11.25">
      <c r="A36" s="0" t="s">
        <v>14</v>
      </c>
      <c r="B36" s="0" t="s">
        <v>3687</v>
      </c>
      <c r="C36" s="0" t="s">
        <v>3688</v>
      </c>
      <c r="D36" s="0" t="s">
        <v>3705</v>
      </c>
      <c r="E36" s="0" t="s">
        <v>3706</v>
      </c>
      <c r="F36" s="0" t="s">
        <v>3654</v>
      </c>
      <c r="G36" s="0" t="s">
        <v>1624</v>
      </c>
    </row>
    <row customHeight="1" ht="11.25">
      <c r="A37" s="0" t="s">
        <v>14</v>
      </c>
      <c r="B37" s="0" t="s">
        <v>3687</v>
      </c>
      <c r="C37" s="0" t="s">
        <v>3688</v>
      </c>
      <c r="D37" s="0" t="s">
        <v>3707</v>
      </c>
      <c r="E37" s="0" t="s">
        <v>3708</v>
      </c>
      <c r="F37" s="0" t="s">
        <v>3654</v>
      </c>
      <c r="G37" s="0" t="s">
        <v>1628</v>
      </c>
    </row>
    <row customHeight="1" ht="11.25">
      <c r="A38" s="0" t="s">
        <v>14</v>
      </c>
      <c r="B38" s="0" t="s">
        <v>139</v>
      </c>
      <c r="C38" s="0" t="s">
        <v>140</v>
      </c>
      <c r="D38" s="0" t="s">
        <v>139</v>
      </c>
      <c r="E38" s="0" t="s">
        <v>140</v>
      </c>
      <c r="F38" s="0" t="s">
        <v>3642</v>
      </c>
      <c r="G38" s="0" t="s">
        <v>138</v>
      </c>
    </row>
    <row customHeight="1" ht="11.25">
      <c r="A39" s="0" t="s">
        <v>14</v>
      </c>
      <c r="B39" s="0" t="s">
        <v>124</v>
      </c>
      <c r="C39" s="0" t="s">
        <v>125</v>
      </c>
      <c r="D39" s="0" t="s">
        <v>124</v>
      </c>
      <c r="E39" s="0" t="s">
        <v>125</v>
      </c>
      <c r="F39" s="0" t="s">
        <v>3645</v>
      </c>
      <c r="G39" s="0" t="s">
        <v>123</v>
      </c>
    </row>
    <row customHeight="1" ht="11.25">
      <c r="A40" s="0" t="s">
        <v>14</v>
      </c>
      <c r="B40" s="0" t="s">
        <v>3709</v>
      </c>
      <c r="C40" s="0" t="s">
        <v>3710</v>
      </c>
      <c r="D40" s="0" t="s">
        <v>3711</v>
      </c>
      <c r="E40" s="0" t="s">
        <v>3712</v>
      </c>
      <c r="F40" s="0" t="s">
        <v>3654</v>
      </c>
      <c r="G40" s="0" t="s">
        <v>1645</v>
      </c>
    </row>
    <row customHeight="1" ht="11.25">
      <c r="A41" s="0" t="s">
        <v>14</v>
      </c>
      <c r="B41" s="0" t="s">
        <v>3709</v>
      </c>
      <c r="C41" s="0" t="s">
        <v>3710</v>
      </c>
      <c r="D41" s="0" t="s">
        <v>3713</v>
      </c>
      <c r="E41" s="0" t="s">
        <v>3714</v>
      </c>
      <c r="F41" s="0" t="s">
        <v>3654</v>
      </c>
      <c r="G41" s="0" t="s">
        <v>1649</v>
      </c>
    </row>
    <row customHeight="1" ht="11.25">
      <c r="A42" s="0" t="s">
        <v>14</v>
      </c>
      <c r="B42" s="0" t="s">
        <v>3709</v>
      </c>
      <c r="C42" s="0" t="s">
        <v>3710</v>
      </c>
      <c r="D42" s="0" t="s">
        <v>3715</v>
      </c>
      <c r="E42" s="0" t="s">
        <v>3716</v>
      </c>
      <c r="F42" s="0" t="s">
        <v>3654</v>
      </c>
      <c r="G42" s="0" t="s">
        <v>1652</v>
      </c>
    </row>
    <row customHeight="1" ht="11.25">
      <c r="A43" s="0" t="s">
        <v>14</v>
      </c>
      <c r="B43" s="0" t="s">
        <v>3709</v>
      </c>
      <c r="C43" s="0" t="s">
        <v>3710</v>
      </c>
      <c r="D43" s="0" t="s">
        <v>3709</v>
      </c>
      <c r="E43" s="0" t="s">
        <v>3710</v>
      </c>
      <c r="F43" s="0" t="s">
        <v>3655</v>
      </c>
      <c r="G43" s="0" t="s">
        <v>1659</v>
      </c>
    </row>
    <row customHeight="1" ht="11.25">
      <c r="A44" s="0" t="s">
        <v>14</v>
      </c>
      <c r="B44" s="0" t="s">
        <v>3709</v>
      </c>
      <c r="C44" s="0" t="s">
        <v>3710</v>
      </c>
      <c r="D44" s="0" t="s">
        <v>3717</v>
      </c>
      <c r="E44" s="0" t="s">
        <v>3718</v>
      </c>
      <c r="F44" s="0" t="s">
        <v>3654</v>
      </c>
      <c r="G44" s="0" t="s">
        <v>1668</v>
      </c>
    </row>
    <row customHeight="1" ht="11.25">
      <c r="A45" s="0" t="s">
        <v>14</v>
      </c>
      <c r="B45" s="0" t="s">
        <v>3709</v>
      </c>
      <c r="C45" s="0" t="s">
        <v>3710</v>
      </c>
      <c r="D45" s="0" t="s">
        <v>3719</v>
      </c>
      <c r="E45" s="0" t="s">
        <v>3720</v>
      </c>
      <c r="F45" s="0" t="s">
        <v>3676</v>
      </c>
      <c r="G45" s="0" t="s">
        <v>1673</v>
      </c>
    </row>
    <row customHeight="1" ht="11.25">
      <c r="A46" s="0" t="s">
        <v>14</v>
      </c>
      <c r="B46" s="0" t="s">
        <v>3709</v>
      </c>
      <c r="C46" s="0" t="s">
        <v>3710</v>
      </c>
      <c r="D46" s="0" t="s">
        <v>3721</v>
      </c>
      <c r="E46" s="0" t="s">
        <v>3722</v>
      </c>
      <c r="F46" s="0" t="s">
        <v>3654</v>
      </c>
      <c r="G46" s="0" t="s">
        <v>1677</v>
      </c>
    </row>
    <row customHeight="1" ht="11.25">
      <c r="A47" s="0" t="s">
        <v>14</v>
      </c>
      <c r="B47" s="0" t="s">
        <v>3709</v>
      </c>
      <c r="C47" s="0" t="s">
        <v>3710</v>
      </c>
      <c r="D47" s="0" t="s">
        <v>3723</v>
      </c>
      <c r="E47" s="0" t="s">
        <v>3724</v>
      </c>
      <c r="F47" s="0" t="s">
        <v>3654</v>
      </c>
      <c r="G47" s="0" t="s">
        <v>1683</v>
      </c>
    </row>
    <row customHeight="1" ht="11.25">
      <c r="A48" s="0" t="s">
        <v>14</v>
      </c>
      <c r="B48" s="0" t="s">
        <v>3725</v>
      </c>
      <c r="C48" s="0" t="s">
        <v>3726</v>
      </c>
      <c r="D48" s="0" t="s">
        <v>3725</v>
      </c>
      <c r="E48" s="0" t="s">
        <v>3726</v>
      </c>
      <c r="F48" s="0" t="s">
        <v>3655</v>
      </c>
      <c r="G48" s="0" t="s">
        <v>1687</v>
      </c>
    </row>
    <row customHeight="1" ht="11.25">
      <c r="A49" s="0" t="s">
        <v>14</v>
      </c>
      <c r="B49" s="0" t="s">
        <v>3725</v>
      </c>
      <c r="C49" s="0" t="s">
        <v>3726</v>
      </c>
      <c r="D49" s="0" t="s">
        <v>3727</v>
      </c>
      <c r="E49" s="0" t="s">
        <v>3728</v>
      </c>
      <c r="F49" s="0" t="s">
        <v>3654</v>
      </c>
      <c r="G49" s="0" t="s">
        <v>1690</v>
      </c>
    </row>
    <row customHeight="1" ht="11.25">
      <c r="A50" s="0" t="s">
        <v>14</v>
      </c>
      <c r="B50" s="0" t="s">
        <v>3725</v>
      </c>
      <c r="C50" s="0" t="s">
        <v>3726</v>
      </c>
      <c r="D50" s="0" t="s">
        <v>3729</v>
      </c>
      <c r="E50" s="0" t="s">
        <v>3730</v>
      </c>
      <c r="F50" s="0" t="s">
        <v>3654</v>
      </c>
      <c r="G50" s="0" t="s">
        <v>1693</v>
      </c>
    </row>
    <row customHeight="1" ht="11.25">
      <c r="A51" s="0" t="s">
        <v>14</v>
      </c>
      <c r="B51" s="0" t="s">
        <v>3725</v>
      </c>
      <c r="C51" s="0" t="s">
        <v>3726</v>
      </c>
      <c r="D51" s="0" t="s">
        <v>3731</v>
      </c>
      <c r="E51" s="0" t="s">
        <v>3732</v>
      </c>
      <c r="F51" s="0" t="s">
        <v>3654</v>
      </c>
      <c r="G51" s="0" t="s">
        <v>1698</v>
      </c>
    </row>
    <row customHeight="1" ht="11.25">
      <c r="A52" s="0" t="s">
        <v>14</v>
      </c>
      <c r="B52" s="0" t="s">
        <v>134</v>
      </c>
      <c r="C52" s="0" t="s">
        <v>135</v>
      </c>
      <c r="D52" s="0" t="s">
        <v>134</v>
      </c>
      <c r="E52" s="0" t="s">
        <v>135</v>
      </c>
      <c r="F52" s="0" t="s">
        <v>3645</v>
      </c>
      <c r="G52" s="0" t="s">
        <v>133</v>
      </c>
    </row>
    <row customHeight="1" ht="11.25">
      <c r="A53" s="0" t="s">
        <v>14</v>
      </c>
      <c r="B53" s="0" t="s">
        <v>3733</v>
      </c>
      <c r="C53" s="0" t="s">
        <v>3734</v>
      </c>
      <c r="D53" s="0" t="s">
        <v>3733</v>
      </c>
      <c r="E53" s="0" t="s">
        <v>3734</v>
      </c>
      <c r="F53" s="0" t="s">
        <v>3642</v>
      </c>
      <c r="G53" s="0" t="s">
        <v>1703</v>
      </c>
    </row>
    <row customHeight="1" ht="11.25">
      <c r="A54" s="0" t="s">
        <v>14</v>
      </c>
      <c r="B54" s="0" t="s">
        <v>3735</v>
      </c>
      <c r="C54" s="0" t="s">
        <v>3736</v>
      </c>
      <c r="D54" s="0" t="s">
        <v>3735</v>
      </c>
      <c r="E54" s="0" t="s">
        <v>3736</v>
      </c>
      <c r="F54" s="0" t="s">
        <v>3642</v>
      </c>
      <c r="G54" s="0" t="s">
        <v>1706</v>
      </c>
    </row>
    <row customHeight="1" ht="11.25">
      <c r="A55" s="0" t="s">
        <v>14</v>
      </c>
      <c r="B55" s="0" t="s">
        <v>3737</v>
      </c>
      <c r="C55" s="0" t="s">
        <v>3738</v>
      </c>
      <c r="D55" s="0" t="s">
        <v>3737</v>
      </c>
      <c r="E55" s="0" t="s">
        <v>3738</v>
      </c>
      <c r="F55" s="0" t="s">
        <v>3645</v>
      </c>
      <c r="G55" s="0" t="s">
        <v>1710</v>
      </c>
    </row>
    <row customHeight="1" ht="11.25">
      <c r="A56" s="0" t="s">
        <v>14</v>
      </c>
      <c r="B56" s="0" t="s">
        <v>3739</v>
      </c>
      <c r="C56" s="0" t="s">
        <v>3740</v>
      </c>
      <c r="D56" s="0" t="s">
        <v>3739</v>
      </c>
      <c r="E56" s="0" t="s">
        <v>3740</v>
      </c>
      <c r="F56" s="0" t="s">
        <v>3642</v>
      </c>
      <c r="G56" s="0" t="s">
        <v>1713</v>
      </c>
    </row>
    <row customHeight="1" ht="11.25">
      <c r="A57" s="0" t="s">
        <v>14</v>
      </c>
      <c r="B57" s="0" t="s">
        <v>144</v>
      </c>
      <c r="C57" s="0" t="s">
        <v>3741</v>
      </c>
      <c r="D57" s="0" t="s">
        <v>3742</v>
      </c>
      <c r="E57" s="0" t="s">
        <v>3743</v>
      </c>
      <c r="F57" s="0" t="s">
        <v>3654</v>
      </c>
      <c r="G57" s="0" t="s">
        <v>1716</v>
      </c>
    </row>
    <row customHeight="1" ht="11.25">
      <c r="A58" s="0" t="s">
        <v>14</v>
      </c>
      <c r="B58" s="0" t="s">
        <v>144</v>
      </c>
      <c r="C58" s="0" t="s">
        <v>3741</v>
      </c>
      <c r="D58" s="0" t="s">
        <v>145</v>
      </c>
      <c r="E58" s="0" t="s">
        <v>146</v>
      </c>
      <c r="F58" s="0" t="s">
        <v>3654</v>
      </c>
      <c r="G58" s="0" t="s">
        <v>143</v>
      </c>
    </row>
    <row customHeight="1" ht="11.25">
      <c r="A59" s="0" t="s">
        <v>14</v>
      </c>
      <c r="B59" s="0" t="s">
        <v>144</v>
      </c>
      <c r="C59" s="0" t="s">
        <v>3741</v>
      </c>
      <c r="D59" s="0" t="s">
        <v>3744</v>
      </c>
      <c r="E59" s="0" t="s">
        <v>3745</v>
      </c>
      <c r="F59" s="0" t="s">
        <v>3654</v>
      </c>
      <c r="G59" s="0" t="s">
        <v>1722</v>
      </c>
    </row>
    <row customHeight="1" ht="11.25">
      <c r="A60" s="0" t="s">
        <v>14</v>
      </c>
      <c r="B60" s="0" t="s">
        <v>144</v>
      </c>
      <c r="C60" s="0" t="s">
        <v>3741</v>
      </c>
      <c r="D60" s="0" t="s">
        <v>3746</v>
      </c>
      <c r="E60" s="0" t="s">
        <v>3747</v>
      </c>
      <c r="F60" s="0" t="s">
        <v>3660</v>
      </c>
      <c r="G60" s="0" t="s">
        <v>1725</v>
      </c>
    </row>
    <row customHeight="1" ht="11.25">
      <c r="A61" s="0" t="s">
        <v>14</v>
      </c>
      <c r="B61" s="0" t="s">
        <v>144</v>
      </c>
      <c r="C61" s="0" t="s">
        <v>3741</v>
      </c>
      <c r="D61" s="0" t="s">
        <v>3748</v>
      </c>
      <c r="E61" s="0" t="s">
        <v>3749</v>
      </c>
      <c r="F61" s="0" t="s">
        <v>3654</v>
      </c>
      <c r="G61" s="0" t="s">
        <v>3750</v>
      </c>
    </row>
    <row customHeight="1" ht="11.25">
      <c r="A62" s="0" t="s">
        <v>14</v>
      </c>
      <c r="B62" s="0" t="s">
        <v>144</v>
      </c>
      <c r="C62" s="0" t="s">
        <v>3741</v>
      </c>
      <c r="D62" s="0" t="s">
        <v>3751</v>
      </c>
      <c r="E62" s="0" t="s">
        <v>3752</v>
      </c>
      <c r="F62" s="0" t="s">
        <v>3654</v>
      </c>
      <c r="G62" s="0" t="s">
        <v>3753</v>
      </c>
    </row>
    <row customHeight="1" ht="11.25">
      <c r="A63" s="0" t="s">
        <v>14</v>
      </c>
      <c r="B63" s="0" t="s">
        <v>144</v>
      </c>
      <c r="C63" s="0" t="s">
        <v>3741</v>
      </c>
      <c r="D63" s="0" t="s">
        <v>144</v>
      </c>
      <c r="E63" s="0" t="s">
        <v>3741</v>
      </c>
      <c r="F63" s="0" t="s">
        <v>3655</v>
      </c>
      <c r="G63" s="0" t="s">
        <v>3754</v>
      </c>
    </row>
    <row customHeight="1" ht="11.25">
      <c r="A64" s="0" t="s">
        <v>14</v>
      </c>
      <c r="B64" s="0" t="s">
        <v>144</v>
      </c>
      <c r="C64" s="0" t="s">
        <v>3741</v>
      </c>
      <c r="D64" s="0" t="s">
        <v>3755</v>
      </c>
      <c r="E64" s="0" t="s">
        <v>3756</v>
      </c>
      <c r="F64" s="0" t="s">
        <v>3654</v>
      </c>
      <c r="G64" s="0" t="s">
        <v>3757</v>
      </c>
    </row>
    <row customHeight="1" ht="11.25">
      <c r="A65" s="0" t="s">
        <v>14</v>
      </c>
      <c r="B65" s="0" t="s">
        <v>3758</v>
      </c>
      <c r="C65" s="0" t="s">
        <v>3759</v>
      </c>
      <c r="D65" s="0" t="s">
        <v>3758</v>
      </c>
      <c r="E65" s="0" t="s">
        <v>3759</v>
      </c>
      <c r="F65" s="0" t="s">
        <v>3642</v>
      </c>
      <c r="G65" s="0" t="s">
        <v>3760</v>
      </c>
    </row>
    <row customHeight="1" ht="11.25">
      <c r="A66" s="0" t="s">
        <v>14</v>
      </c>
      <c r="B66" s="0" t="s">
        <v>129</v>
      </c>
      <c r="C66" s="0" t="s">
        <v>130</v>
      </c>
      <c r="D66" s="0" t="s">
        <v>129</v>
      </c>
      <c r="E66" s="0" t="s">
        <v>130</v>
      </c>
      <c r="F66" s="0" t="s">
        <v>3642</v>
      </c>
      <c r="G66" s="0" t="s">
        <v>128</v>
      </c>
    </row>
    <row customHeight="1" ht="11.25">
      <c r="A67" s="0" t="s">
        <v>14</v>
      </c>
      <c r="B67" s="0" t="s">
        <v>3761</v>
      </c>
      <c r="C67" s="0" t="s">
        <v>3762</v>
      </c>
      <c r="D67" s="0" t="s">
        <v>3763</v>
      </c>
      <c r="E67" s="0" t="s">
        <v>3764</v>
      </c>
      <c r="F67" s="0" t="s">
        <v>3654</v>
      </c>
      <c r="G67" s="0" t="s">
        <v>2045</v>
      </c>
    </row>
    <row customHeight="1" ht="11.25">
      <c r="A68" s="0" t="s">
        <v>14</v>
      </c>
      <c r="B68" s="0" t="s">
        <v>3761</v>
      </c>
      <c r="C68" s="0" t="s">
        <v>3762</v>
      </c>
      <c r="D68" s="0" t="s">
        <v>3765</v>
      </c>
      <c r="E68" s="0" t="s">
        <v>3766</v>
      </c>
      <c r="F68" s="0" t="s">
        <v>3654</v>
      </c>
      <c r="G68" s="0" t="s">
        <v>3767</v>
      </c>
    </row>
    <row customHeight="1" ht="11.25">
      <c r="A69" s="0" t="s">
        <v>14</v>
      </c>
      <c r="B69" s="0" t="s">
        <v>3761</v>
      </c>
      <c r="C69" s="0" t="s">
        <v>3762</v>
      </c>
      <c r="D69" s="0" t="s">
        <v>3768</v>
      </c>
      <c r="E69" s="0" t="s">
        <v>3769</v>
      </c>
      <c r="F69" s="0" t="s">
        <v>3654</v>
      </c>
      <c r="G69" s="0" t="s">
        <v>2256</v>
      </c>
    </row>
    <row customHeight="1" ht="11.25">
      <c r="A70" s="0" t="s">
        <v>14</v>
      </c>
      <c r="B70" s="0" t="s">
        <v>3761</v>
      </c>
      <c r="C70" s="0" t="s">
        <v>3762</v>
      </c>
      <c r="D70" s="0" t="s">
        <v>3770</v>
      </c>
      <c r="E70" s="0" t="s">
        <v>3771</v>
      </c>
      <c r="F70" s="0" t="s">
        <v>3654</v>
      </c>
      <c r="G70" s="0" t="s">
        <v>3772</v>
      </c>
    </row>
    <row customHeight="1" ht="11.25">
      <c r="A71" s="0" t="s">
        <v>14</v>
      </c>
      <c r="B71" s="0" t="s">
        <v>3761</v>
      </c>
      <c r="C71" s="0" t="s">
        <v>3762</v>
      </c>
      <c r="D71" s="0" t="s">
        <v>3773</v>
      </c>
      <c r="E71" s="0" t="s">
        <v>3774</v>
      </c>
      <c r="F71" s="0" t="s">
        <v>3654</v>
      </c>
      <c r="G71" s="0" t="s">
        <v>3775</v>
      </c>
    </row>
    <row customHeight="1" ht="11.25">
      <c r="A72" s="0" t="s">
        <v>14</v>
      </c>
      <c r="B72" s="0" t="s">
        <v>3761</v>
      </c>
      <c r="C72" s="0" t="s">
        <v>3762</v>
      </c>
      <c r="D72" s="0" t="s">
        <v>3761</v>
      </c>
      <c r="E72" s="0" t="s">
        <v>3762</v>
      </c>
      <c r="F72" s="0" t="s">
        <v>3655</v>
      </c>
      <c r="G72" s="0" t="s">
        <v>3776</v>
      </c>
    </row>
    <row customHeight="1" ht="11.25">
      <c r="A73" s="0" t="s">
        <v>14</v>
      </c>
      <c r="B73" s="0" t="s">
        <v>3761</v>
      </c>
      <c r="C73" s="0" t="s">
        <v>3762</v>
      </c>
      <c r="D73" s="0" t="s">
        <v>3777</v>
      </c>
      <c r="E73" s="0" t="s">
        <v>3778</v>
      </c>
      <c r="F73" s="0" t="s">
        <v>3654</v>
      </c>
      <c r="G73" s="0" t="s">
        <v>3779</v>
      </c>
    </row>
    <row customHeight="1" ht="11.25">
      <c r="A74" s="0" t="s">
        <v>14</v>
      </c>
      <c r="B74" s="0" t="s">
        <v>3761</v>
      </c>
      <c r="C74" s="0" t="s">
        <v>3762</v>
      </c>
      <c r="D74" s="0" t="s">
        <v>3780</v>
      </c>
      <c r="E74" s="0" t="s">
        <v>3781</v>
      </c>
      <c r="F74" s="0" t="s">
        <v>3654</v>
      </c>
      <c r="G74" s="0" t="s">
        <v>3782</v>
      </c>
    </row>
    <row customHeight="1" ht="11.25">
      <c r="A75" s="0" t="s">
        <v>14</v>
      </c>
      <c r="B75" s="0" t="s">
        <v>3761</v>
      </c>
      <c r="C75" s="0" t="s">
        <v>3762</v>
      </c>
      <c r="D75" s="0" t="s">
        <v>3783</v>
      </c>
      <c r="E75" s="0" t="s">
        <v>3784</v>
      </c>
      <c r="F75" s="0" t="s">
        <v>3654</v>
      </c>
      <c r="G75" s="0" t="s">
        <v>3785</v>
      </c>
    </row>
    <row customHeight="1" ht="11.25">
      <c r="A76" s="0" t="s">
        <v>14</v>
      </c>
      <c r="B76" s="0" t="s">
        <v>3786</v>
      </c>
      <c r="C76" s="0" t="s">
        <v>3787</v>
      </c>
      <c r="D76" s="0" t="s">
        <v>3786</v>
      </c>
      <c r="E76" s="0" t="s">
        <v>3787</v>
      </c>
      <c r="F76" s="0" t="s">
        <v>3642</v>
      </c>
      <c r="G76" s="0" t="s">
        <v>3788</v>
      </c>
    </row>
    <row customHeight="1" ht="11.25">
      <c r="A77" s="0" t="s">
        <v>14</v>
      </c>
      <c r="B77" s="0" t="s">
        <v>3789</v>
      </c>
      <c r="C77" s="0" t="s">
        <v>3790</v>
      </c>
      <c r="D77" s="0" t="s">
        <v>3789</v>
      </c>
      <c r="E77" s="0" t="s">
        <v>3790</v>
      </c>
      <c r="F77" s="0" t="s">
        <v>3645</v>
      </c>
      <c r="G77" s="0" t="s">
        <v>3791</v>
      </c>
    </row>
    <row customHeight="1" ht="11.25">
      <c r="A78" s="0" t="s">
        <v>14</v>
      </c>
      <c r="B78" s="0" t="s">
        <v>3792</v>
      </c>
      <c r="C78" s="0" t="s">
        <v>3793</v>
      </c>
      <c r="D78" s="0" t="s">
        <v>3792</v>
      </c>
      <c r="E78" s="0" t="s">
        <v>3793</v>
      </c>
      <c r="F78" s="0" t="s">
        <v>3642</v>
      </c>
      <c r="G78" s="0" t="s">
        <v>3794</v>
      </c>
    </row>
    <row customHeight="1" ht="11.25">
      <c r="A79" s="0" t="s">
        <v>14</v>
      </c>
      <c r="B79" s="0" t="s">
        <v>96</v>
      </c>
      <c r="C79" s="0" t="s">
        <v>97</v>
      </c>
      <c r="D79" s="0" t="s">
        <v>96</v>
      </c>
      <c r="E79" s="0" t="s">
        <v>97</v>
      </c>
      <c r="F79" s="0" t="s">
        <v>3642</v>
      </c>
      <c r="G79" s="0" t="s">
        <v>95</v>
      </c>
    </row>
    <row customHeight="1" ht="11.25">
      <c r="A80" s="0" t="s">
        <v>14</v>
      </c>
      <c r="B80" s="0" t="s">
        <v>3795</v>
      </c>
      <c r="C80" s="0" t="s">
        <v>3796</v>
      </c>
      <c r="D80" s="0" t="s">
        <v>3795</v>
      </c>
      <c r="E80" s="0" t="s">
        <v>3796</v>
      </c>
      <c r="F80" s="0" t="s">
        <v>3642</v>
      </c>
      <c r="G80" s="0" t="s">
        <v>3797</v>
      </c>
    </row>
    <row customHeight="1" ht="11.25">
      <c r="A81" s="0" t="s">
        <v>14</v>
      </c>
      <c r="B81" s="0" t="s">
        <v>154</v>
      </c>
      <c r="C81" s="0" t="s">
        <v>155</v>
      </c>
      <c r="D81" s="0" t="s">
        <v>154</v>
      </c>
      <c r="E81" s="0" t="s">
        <v>155</v>
      </c>
      <c r="F81" s="0" t="s">
        <v>3642</v>
      </c>
      <c r="G81" s="0" t="s">
        <v>153</v>
      </c>
    </row>
    <row customHeight="1" ht="11.25">
      <c r="A82" s="0" t="s">
        <v>14</v>
      </c>
      <c r="B82" s="0" t="s">
        <v>159</v>
      </c>
      <c r="C82" s="0" t="s">
        <v>3798</v>
      </c>
      <c r="D82" s="0" t="s">
        <v>3799</v>
      </c>
      <c r="E82" s="0" t="s">
        <v>3800</v>
      </c>
      <c r="F82" s="0" t="s">
        <v>3654</v>
      </c>
      <c r="G82" s="0" t="s">
        <v>3801</v>
      </c>
    </row>
    <row customHeight="1" ht="11.25">
      <c r="A83" s="0" t="s">
        <v>14</v>
      </c>
      <c r="B83" s="0" t="s">
        <v>159</v>
      </c>
      <c r="C83" s="0" t="s">
        <v>3798</v>
      </c>
      <c r="D83" s="0" t="s">
        <v>3802</v>
      </c>
      <c r="E83" s="0" t="s">
        <v>3803</v>
      </c>
      <c r="F83" s="0" t="s">
        <v>3660</v>
      </c>
      <c r="G83" s="0" t="s">
        <v>3804</v>
      </c>
    </row>
    <row customHeight="1" ht="11.25">
      <c r="A84" s="0" t="s">
        <v>14</v>
      </c>
      <c r="B84" s="0" t="s">
        <v>159</v>
      </c>
      <c r="C84" s="0" t="s">
        <v>3798</v>
      </c>
      <c r="D84" s="0" t="s">
        <v>3805</v>
      </c>
      <c r="E84" s="0" t="s">
        <v>3806</v>
      </c>
      <c r="F84" s="0" t="s">
        <v>3654</v>
      </c>
      <c r="G84" s="0" t="s">
        <v>3807</v>
      </c>
    </row>
    <row customHeight="1" ht="11.25">
      <c r="A85" s="0" t="s">
        <v>14</v>
      </c>
      <c r="B85" s="0" t="s">
        <v>159</v>
      </c>
      <c r="C85" s="0" t="s">
        <v>3798</v>
      </c>
      <c r="D85" s="0" t="s">
        <v>3808</v>
      </c>
      <c r="E85" s="0" t="s">
        <v>3809</v>
      </c>
      <c r="F85" s="0" t="s">
        <v>3654</v>
      </c>
      <c r="G85" s="0" t="s">
        <v>3810</v>
      </c>
    </row>
    <row customHeight="1" ht="11.25">
      <c r="A86" s="0" t="s">
        <v>14</v>
      </c>
      <c r="B86" s="0" t="s">
        <v>159</v>
      </c>
      <c r="C86" s="0" t="s">
        <v>3798</v>
      </c>
      <c r="D86" s="0" t="s">
        <v>159</v>
      </c>
      <c r="E86" s="0" t="s">
        <v>3798</v>
      </c>
      <c r="F86" s="0" t="s">
        <v>3655</v>
      </c>
      <c r="G86" s="0" t="s">
        <v>3811</v>
      </c>
    </row>
    <row customHeight="1" ht="11.25">
      <c r="A87" s="0" t="s">
        <v>14</v>
      </c>
      <c r="B87" s="0" t="s">
        <v>159</v>
      </c>
      <c r="C87" s="0" t="s">
        <v>3798</v>
      </c>
      <c r="D87" s="0" t="s">
        <v>3812</v>
      </c>
      <c r="E87" s="0" t="s">
        <v>3813</v>
      </c>
      <c r="F87" s="0" t="s">
        <v>3654</v>
      </c>
      <c r="G87" s="0" t="s">
        <v>3814</v>
      </c>
    </row>
    <row customHeight="1" ht="11.25">
      <c r="A88" s="0" t="s">
        <v>14</v>
      </c>
      <c r="B88" s="0" t="s">
        <v>111</v>
      </c>
      <c r="C88" s="0" t="s">
        <v>112</v>
      </c>
      <c r="D88" s="0" t="s">
        <v>111</v>
      </c>
      <c r="E88" s="0" t="s">
        <v>112</v>
      </c>
      <c r="F88" s="0" t="s">
        <v>3642</v>
      </c>
      <c r="G88" s="0" t="s">
        <v>110</v>
      </c>
    </row>
    <row customHeight="1" ht="11.25">
      <c r="A89" s="0" t="s">
        <v>14</v>
      </c>
      <c r="B89" s="0" t="s">
        <v>3815</v>
      </c>
      <c r="C89" s="0" t="s">
        <v>3816</v>
      </c>
      <c r="D89" s="0" t="s">
        <v>3815</v>
      </c>
      <c r="E89" s="0" t="s">
        <v>3816</v>
      </c>
      <c r="F89" s="0" t="s">
        <v>3642</v>
      </c>
      <c r="G89" s="0" t="s">
        <v>3817</v>
      </c>
    </row>
    <row customHeight="1" ht="11.25">
      <c r="A90" s="0" t="s">
        <v>14</v>
      </c>
      <c r="B90" s="0" t="s">
        <v>103</v>
      </c>
      <c r="C90" s="0" t="s">
        <v>3818</v>
      </c>
      <c r="D90" s="0" t="s">
        <v>3819</v>
      </c>
      <c r="E90" s="0" t="s">
        <v>3820</v>
      </c>
      <c r="F90" s="0" t="s">
        <v>3654</v>
      </c>
      <c r="G90" s="0" t="s">
        <v>3821</v>
      </c>
    </row>
    <row customHeight="1" ht="11.25">
      <c r="A91" s="0" t="s">
        <v>14</v>
      </c>
      <c r="B91" s="0" t="s">
        <v>103</v>
      </c>
      <c r="C91" s="0" t="s">
        <v>3818</v>
      </c>
      <c r="D91" s="0" t="s">
        <v>3822</v>
      </c>
      <c r="E91" s="0" t="s">
        <v>3823</v>
      </c>
      <c r="F91" s="0" t="s">
        <v>3654</v>
      </c>
      <c r="G91" s="0" t="s">
        <v>3824</v>
      </c>
    </row>
    <row customHeight="1" ht="11.25">
      <c r="A92" s="0" t="s">
        <v>14</v>
      </c>
      <c r="B92" s="0" t="s">
        <v>103</v>
      </c>
      <c r="C92" s="0" t="s">
        <v>3818</v>
      </c>
      <c r="D92" s="0" t="s">
        <v>3825</v>
      </c>
      <c r="E92" s="0" t="s">
        <v>3826</v>
      </c>
      <c r="F92" s="0" t="s">
        <v>3654</v>
      </c>
      <c r="G92" s="0" t="s">
        <v>3827</v>
      </c>
    </row>
    <row customHeight="1" ht="11.25">
      <c r="A93" s="0" t="s">
        <v>14</v>
      </c>
      <c r="B93" s="0" t="s">
        <v>103</v>
      </c>
      <c r="C93" s="0" t="s">
        <v>3818</v>
      </c>
      <c r="D93" s="0" t="s">
        <v>104</v>
      </c>
      <c r="E93" s="0" t="s">
        <v>105</v>
      </c>
      <c r="F93" s="0" t="s">
        <v>3676</v>
      </c>
      <c r="G93" s="0" t="s">
        <v>102</v>
      </c>
    </row>
    <row customHeight="1" ht="11.25">
      <c r="A94" s="0" t="s">
        <v>14</v>
      </c>
      <c r="B94" s="0" t="s">
        <v>103</v>
      </c>
      <c r="C94" s="0" t="s">
        <v>3818</v>
      </c>
      <c r="D94" s="0" t="s">
        <v>3828</v>
      </c>
      <c r="E94" s="0" t="s">
        <v>3829</v>
      </c>
      <c r="F94" s="0" t="s">
        <v>3654</v>
      </c>
      <c r="G94" s="0" t="s">
        <v>3830</v>
      </c>
    </row>
    <row customHeight="1" ht="11.25">
      <c r="A95" s="0" t="s">
        <v>14</v>
      </c>
      <c r="B95" s="0" t="s">
        <v>103</v>
      </c>
      <c r="C95" s="0" t="s">
        <v>3818</v>
      </c>
      <c r="D95" s="0" t="s">
        <v>103</v>
      </c>
      <c r="E95" s="0" t="s">
        <v>3818</v>
      </c>
      <c r="F95" s="0" t="s">
        <v>3655</v>
      </c>
      <c r="G95" s="0" t="s">
        <v>3831</v>
      </c>
    </row>
    <row customHeight="1" ht="11.25">
      <c r="A96" s="0" t="s">
        <v>14</v>
      </c>
      <c r="B96" s="0" t="s">
        <v>103</v>
      </c>
      <c r="C96" s="0" t="s">
        <v>3818</v>
      </c>
      <c r="D96" s="0" t="s">
        <v>3832</v>
      </c>
      <c r="E96" s="0" t="s">
        <v>3833</v>
      </c>
      <c r="F96" s="0" t="s">
        <v>3676</v>
      </c>
      <c r="G96" s="0" t="s">
        <v>3834</v>
      </c>
    </row>
    <row customHeight="1" ht="11.25">
      <c r="A97" s="0" t="s">
        <v>14</v>
      </c>
      <c r="B97" s="0" t="s">
        <v>103</v>
      </c>
      <c r="C97" s="0" t="s">
        <v>3818</v>
      </c>
      <c r="D97" s="0" t="s">
        <v>3835</v>
      </c>
      <c r="E97" s="0" t="s">
        <v>3836</v>
      </c>
      <c r="F97" s="0" t="s">
        <v>3654</v>
      </c>
      <c r="G97" s="0" t="s">
        <v>3837</v>
      </c>
    </row>
    <row customHeight="1" ht="11.25">
      <c r="A98" s="0" t="s">
        <v>14</v>
      </c>
      <c r="B98" s="0" t="s">
        <v>3838</v>
      </c>
      <c r="C98" s="0" t="s">
        <v>3839</v>
      </c>
      <c r="D98" s="0" t="s">
        <v>3838</v>
      </c>
      <c r="E98" s="0" t="s">
        <v>3839</v>
      </c>
      <c r="F98" s="0" t="s">
        <v>3642</v>
      </c>
      <c r="G98" s="0" t="s">
        <v>3840</v>
      </c>
    </row>
    <row customHeight="1" ht="11.25">
      <c r="A99" s="0" t="s">
        <v>14</v>
      </c>
      <c r="B99" s="0" t="s">
        <v>3841</v>
      </c>
      <c r="C99" s="0" t="s">
        <v>3842</v>
      </c>
      <c r="D99" s="0" t="s">
        <v>3843</v>
      </c>
      <c r="E99" s="0" t="s">
        <v>3844</v>
      </c>
      <c r="F99" s="0" t="s">
        <v>3654</v>
      </c>
      <c r="G99" s="0" t="s">
        <v>3845</v>
      </c>
    </row>
    <row customHeight="1" ht="11.25">
      <c r="A100" s="0" t="s">
        <v>14</v>
      </c>
      <c r="B100" s="0" t="s">
        <v>3841</v>
      </c>
      <c r="C100" s="0" t="s">
        <v>3842</v>
      </c>
      <c r="D100" s="0" t="s">
        <v>3846</v>
      </c>
      <c r="E100" s="0" t="s">
        <v>3847</v>
      </c>
      <c r="F100" s="0" t="s">
        <v>3654</v>
      </c>
      <c r="G100" s="0" t="s">
        <v>3848</v>
      </c>
    </row>
    <row customHeight="1" ht="11.25">
      <c r="A101" s="0" t="s">
        <v>14</v>
      </c>
      <c r="B101" s="0" t="s">
        <v>3841</v>
      </c>
      <c r="C101" s="0" t="s">
        <v>3842</v>
      </c>
      <c r="D101" s="0" t="s">
        <v>3849</v>
      </c>
      <c r="E101" s="0" t="s">
        <v>3850</v>
      </c>
      <c r="F101" s="0" t="s">
        <v>3654</v>
      </c>
      <c r="G101" s="0" t="s">
        <v>3851</v>
      </c>
    </row>
    <row customHeight="1" ht="11.25">
      <c r="A102" s="0" t="s">
        <v>14</v>
      </c>
      <c r="B102" s="0" t="s">
        <v>3841</v>
      </c>
      <c r="C102" s="0" t="s">
        <v>3842</v>
      </c>
      <c r="D102" s="0" t="s">
        <v>3852</v>
      </c>
      <c r="E102" s="0" t="s">
        <v>3853</v>
      </c>
      <c r="F102" s="0" t="s">
        <v>3654</v>
      </c>
      <c r="G102" s="0" t="s">
        <v>3854</v>
      </c>
    </row>
    <row customHeight="1" ht="11.25">
      <c r="A103" s="0" t="s">
        <v>14</v>
      </c>
      <c r="B103" s="0" t="s">
        <v>3841</v>
      </c>
      <c r="C103" s="0" t="s">
        <v>3842</v>
      </c>
      <c r="D103" s="0" t="s">
        <v>3841</v>
      </c>
      <c r="E103" s="0" t="s">
        <v>3842</v>
      </c>
      <c r="F103" s="0" t="s">
        <v>3655</v>
      </c>
      <c r="G103" s="0" t="s">
        <v>3855</v>
      </c>
    </row>
    <row customHeight="1" ht="11.25">
      <c r="A104" s="0" t="s">
        <v>14</v>
      </c>
      <c r="B104" s="0" t="s">
        <v>3841</v>
      </c>
      <c r="C104" s="0" t="s">
        <v>3842</v>
      </c>
      <c r="D104" s="0" t="s">
        <v>3856</v>
      </c>
      <c r="E104" s="0" t="s">
        <v>3857</v>
      </c>
      <c r="F104" s="0" t="s">
        <v>3654</v>
      </c>
      <c r="G104" s="0" t="s">
        <v>3858</v>
      </c>
    </row>
    <row customHeight="1" ht="11.25">
      <c r="A105" s="0" t="s">
        <v>14</v>
      </c>
      <c r="B105" s="0" t="s">
        <v>3859</v>
      </c>
      <c r="C105" s="0" t="s">
        <v>3860</v>
      </c>
      <c r="D105" s="0" t="s">
        <v>3859</v>
      </c>
      <c r="E105" s="0" t="s">
        <v>3860</v>
      </c>
      <c r="F105" s="0" t="s">
        <v>3645</v>
      </c>
      <c r="G105" s="0" t="s">
        <v>3861</v>
      </c>
    </row>
    <row customHeight="1" ht="11.25">
      <c r="A106" s="0" t="s">
        <v>14</v>
      </c>
      <c r="B106" s="0" t="s">
        <v>3862</v>
      </c>
      <c r="C106" s="0" t="s">
        <v>3863</v>
      </c>
      <c r="D106" s="0" t="s">
        <v>3862</v>
      </c>
      <c r="E106" s="0" t="s">
        <v>3863</v>
      </c>
      <c r="F106" s="0" t="s">
        <v>3645</v>
      </c>
      <c r="G106" s="0" t="s">
        <v>3864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4F9F45-A9F1-2C8A-7A8D-466AE1A4DB9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23018" width="9.140625"/>
    <col min="2" max="2" style="23018" width="84.28125" customWidth="1"/>
    <col min="3" max="3" style="23018" width="9.140625"/>
  </cols>
  <sheetData>
    <row customHeight="1" ht="11.25">
      <c r="A1" s="1057" t="s">
        <v>3895</v>
      </c>
      <c r="B1" s="1057" t="s">
        <v>3896</v>
      </c>
      <c r="C1" s="1057" t="s">
        <v>1195</v>
      </c>
    </row>
    <row customHeight="1" ht="11.25">
      <c r="A2" s="1057">
        <v>4189678</v>
      </c>
      <c r="B2" s="1057" t="s">
        <v>3897</v>
      </c>
      <c r="C2" s="1057" t="s">
        <v>3898</v>
      </c>
    </row>
    <row customHeight="1" ht="11.25">
      <c r="A3" s="1057">
        <v>4190415</v>
      </c>
      <c r="B3" s="1057" t="s">
        <v>3899</v>
      </c>
      <c r="C3" s="1057" t="s">
        <v>3898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41E188-A26D-F5D4-FD71-8D8DFFD2BA6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23021" width="38.421875" customWidth="1"/>
    <col min="2" max="5" style="23021" width="9.140625"/>
  </cols>
  <sheetData>
    <row customHeight="1" ht="15">
      <c r="A1" s="386" t="s">
        <v>3900</v>
      </c>
      <c r="B1" s="386" t="s">
        <v>3901</v>
      </c>
      <c r="C1" s="386"/>
      <c r="D1" s="386"/>
      <c r="E1" s="386"/>
    </row>
    <row customHeight="1" ht="15">
      <c r="A2" s="386"/>
      <c r="B2" s="386"/>
      <c r="C2" s="386"/>
      <c r="D2" s="386"/>
      <c r="E2" s="386"/>
    </row>
    <row customHeight="1" ht="15">
      <c r="A3" s="386"/>
      <c r="B3" s="386"/>
      <c r="C3" s="386"/>
      <c r="D3" s="386"/>
      <c r="E3" s="386"/>
    </row>
    <row customHeight="1" ht="15">
      <c r="A4" s="386"/>
      <c r="B4" s="386"/>
      <c r="C4" s="386"/>
      <c r="D4" s="386"/>
      <c r="E4" s="386"/>
    </row>
    <row customHeight="1" ht="15">
      <c r="A5" s="386"/>
      <c r="B5" s="386"/>
      <c r="C5" s="386"/>
      <c r="D5" s="386"/>
      <c r="E5" s="386"/>
    </row>
    <row customHeight="1" ht="15">
      <c r="A6" s="386"/>
      <c r="B6" s="386"/>
      <c r="C6" s="386"/>
      <c r="D6" s="386"/>
      <c r="E6" s="386"/>
    </row>
    <row customHeight="1" ht="15">
      <c r="A7" s="386"/>
      <c r="B7" s="386"/>
      <c r="C7" s="386"/>
      <c r="D7" s="386"/>
      <c r="E7" s="386"/>
    </row>
    <row customHeight="1" ht="15">
      <c r="A8" s="386"/>
      <c r="B8" s="386"/>
      <c r="C8" s="386"/>
      <c r="D8" s="386"/>
      <c r="E8" s="38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97AC0A-98BF-C833-7543-DF47B836EDA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3902</v>
      </c>
      <c r="B1" s="0" t="b">
        <v>1</v>
      </c>
    </row>
    <row customHeight="1" ht="11.25">
      <c r="A2" s="0" t="s">
        <v>3903</v>
      </c>
      <c r="B2" s="0" t="b">
        <v>0</v>
      </c>
    </row>
    <row customHeight="1" ht="11.25">
      <c r="A3" s="0" t="s">
        <v>3904</v>
      </c>
      <c r="B3" s="0" t="b">
        <v>0</v>
      </c>
    </row>
    <row customHeight="1" ht="11.25">
      <c r="A4" s="0" t="s">
        <v>3905</v>
      </c>
      <c r="B4" s="0" t="b">
        <v>0</v>
      </c>
    </row>
    <row customHeight="1" ht="11.25">
      <c r="A5" s="0" t="s">
        <v>3906</v>
      </c>
      <c r="B5" s="0" t="b">
        <v>0</v>
      </c>
    </row>
    <row customHeight="1" ht="11.25">
      <c r="A6" s="0" t="s">
        <v>3907</v>
      </c>
      <c r="B6" s="0" t="b">
        <v>1</v>
      </c>
    </row>
    <row customHeight="1" ht="11.25">
      <c r="A7" s="0" t="s">
        <v>3908</v>
      </c>
      <c r="B7" s="0" t="b">
        <v>0</v>
      </c>
    </row>
    <row customHeight="1" ht="11.25">
      <c r="A8" s="0" t="s">
        <v>3909</v>
      </c>
      <c r="B8" s="0" t="b">
        <v>0</v>
      </c>
    </row>
    <row customHeight="1" ht="11.25">
      <c r="A9" s="0" t="s">
        <v>3910</v>
      </c>
      <c r="B9" s="0" t="b">
        <v>0</v>
      </c>
    </row>
    <row customHeight="1" ht="11.25">
      <c r="A10" s="0" t="s">
        <v>3911</v>
      </c>
      <c r="B10" s="0" t="b">
        <v>0</v>
      </c>
    </row>
    <row customHeight="1" ht="11.25">
      <c r="A11" s="0" t="s">
        <v>3912</v>
      </c>
      <c r="B11" s="0" t="b">
        <v>0</v>
      </c>
    </row>
    <row customHeight="1" ht="11.25">
      <c r="A12" s="0" t="s">
        <v>3913</v>
      </c>
      <c r="B12" s="0" t="b">
        <v>0</v>
      </c>
    </row>
    <row customHeight="1" ht="11.25">
      <c r="A13" s="0" t="s">
        <v>3914</v>
      </c>
      <c r="B13" s="0" t="b">
        <v>0</v>
      </c>
    </row>
    <row customHeight="1" ht="11.25">
      <c r="A14" s="0" t="s">
        <v>3915</v>
      </c>
      <c r="B14" s="0" t="b">
        <v>1</v>
      </c>
    </row>
    <row customHeight="1" ht="11.25">
      <c r="A15" s="0" t="s">
        <v>3916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230606-A392-38B5-9277-1F6271359CD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3023" width="9.140625"/>
  </cols>
  <sheetData>
    <row customHeight="1" ht="12.75">
      <c r="A1" s="317"/>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AE6697-86FE-4DBF-7488-2D4E4E1121F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3025" width="36.28125" customWidth="1"/>
    <col min="2" max="2" style="23025" width="21.140625" customWidth="1"/>
  </cols>
  <sheetData>
    <row customHeight="1" ht="11.25">
      <c r="A1" s="289" t="s">
        <v>3917</v>
      </c>
      <c r="B1" s="289" t="s">
        <v>3918</v>
      </c>
    </row>
    <row customHeight="1" ht="11.25">
      <c r="A2" s="283" t="s">
        <v>3919</v>
      </c>
      <c r="B2" s="283" t="s">
        <v>3920</v>
      </c>
    </row>
    <row customHeight="1" ht="11.25">
      <c r="A3" s="283" t="s">
        <v>3921</v>
      </c>
      <c r="B3" s="283" t="s">
        <v>3922</v>
      </c>
    </row>
    <row customHeight="1" ht="11.25">
      <c r="A4" s="283" t="s">
        <v>3923</v>
      </c>
      <c r="B4" s="283" t="s">
        <v>3924</v>
      </c>
    </row>
    <row customHeight="1" ht="11.25">
      <c r="A5" s="283" t="s">
        <v>3925</v>
      </c>
      <c r="B5" s="283" t="s">
        <v>3926</v>
      </c>
    </row>
    <row customHeight="1" ht="11.25">
      <c r="A6" s="283" t="s">
        <v>3927</v>
      </c>
      <c r="B6" s="283" t="s">
        <v>3928</v>
      </c>
    </row>
    <row customHeight="1" ht="11.25">
      <c r="A7" s="283" t="s">
        <v>3929</v>
      </c>
      <c r="B7" s="283" t="s">
        <v>3930</v>
      </c>
    </row>
    <row customHeight="1" ht="11.25">
      <c r="A8" s="283" t="s">
        <v>3931</v>
      </c>
      <c r="B8" s="283" t="s">
        <v>3932</v>
      </c>
    </row>
    <row customHeight="1" ht="11.25">
      <c r="A9" s="283" t="s">
        <v>3933</v>
      </c>
      <c r="B9" s="283" t="s">
        <v>3934</v>
      </c>
    </row>
    <row customHeight="1" ht="11.25">
      <c r="A10" s="283" t="s">
        <v>3935</v>
      </c>
      <c r="B10" s="283" t="s">
        <v>3936</v>
      </c>
    </row>
    <row customHeight="1" ht="11.25">
      <c r="A11" s="283" t="s">
        <v>3937</v>
      </c>
      <c r="B11" s="283" t="s">
        <v>3938</v>
      </c>
    </row>
    <row customHeight="1" ht="11.25">
      <c r="A12" s="283" t="s">
        <v>3939</v>
      </c>
      <c r="B12" s="283" t="s">
        <v>3940</v>
      </c>
    </row>
    <row customHeight="1" ht="11.25">
      <c r="A13" s="283" t="s">
        <v>3941</v>
      </c>
      <c r="B13" s="283" t="s">
        <v>3942</v>
      </c>
    </row>
    <row customHeight="1" ht="11.25">
      <c r="A14" s="283" t="s">
        <v>3943</v>
      </c>
      <c r="B14" s="283" t="s">
        <v>3944</v>
      </c>
    </row>
    <row customHeight="1" ht="11.25">
      <c r="A15" s="283" t="s">
        <v>3945</v>
      </c>
      <c r="B15" s="283" t="s">
        <v>3946</v>
      </c>
    </row>
    <row customHeight="1" ht="11.25">
      <c r="A16" s="283" t="s">
        <v>3947</v>
      </c>
      <c r="B16" s="283" t="s">
        <v>3948</v>
      </c>
    </row>
    <row customHeight="1" ht="11.25">
      <c r="A17" s="283" t="s">
        <v>3949</v>
      </c>
      <c r="B17" s="283" t="s">
        <v>3950</v>
      </c>
    </row>
    <row customHeight="1" ht="11.25">
      <c r="A18" s="283" t="s">
        <v>3951</v>
      </c>
      <c r="B18" s="283" t="s">
        <v>3952</v>
      </c>
    </row>
    <row customHeight="1" ht="11.25">
      <c r="A19" s="283" t="s">
        <v>3953</v>
      </c>
      <c r="B19" s="283" t="s">
        <v>3954</v>
      </c>
    </row>
    <row customHeight="1" ht="11.25">
      <c r="A20" s="283" t="s">
        <v>3955</v>
      </c>
      <c r="B20" s="283" t="s">
        <v>3956</v>
      </c>
    </row>
    <row customHeight="1" ht="11.25">
      <c r="A21" s="283" t="s">
        <v>3957</v>
      </c>
      <c r="B21" s="283" t="s">
        <v>3958</v>
      </c>
    </row>
    <row customHeight="1" ht="11.25">
      <c r="A22" s="283" t="s">
        <v>3959</v>
      </c>
      <c r="B22" s="283" t="s">
        <v>3960</v>
      </c>
    </row>
    <row customHeight="1" ht="11.25">
      <c r="A23" s="283" t="s">
        <v>3961</v>
      </c>
      <c r="B23" s="283" t="s">
        <v>3962</v>
      </c>
    </row>
    <row customHeight="1" ht="11.25">
      <c r="A24" s="283" t="s">
        <v>3963</v>
      </c>
      <c r="B24" s="283" t="s">
        <v>3964</v>
      </c>
    </row>
    <row customHeight="1" ht="11.25">
      <c r="A25" s="283" t="s">
        <v>3965</v>
      </c>
      <c r="B25" s="283" t="s">
        <v>3966</v>
      </c>
    </row>
    <row customHeight="1" ht="11.25">
      <c r="A26" s="283" t="s">
        <v>3967</v>
      </c>
      <c r="B26" s="283" t="s">
        <v>3968</v>
      </c>
    </row>
    <row customHeight="1" ht="11.25">
      <c r="A27" s="283" t="s">
        <v>3969</v>
      </c>
      <c r="B27" s="283" t="s">
        <v>3970</v>
      </c>
    </row>
    <row customHeight="1" ht="11.25">
      <c r="A28" s="283" t="s">
        <v>3971</v>
      </c>
      <c r="B28" s="283" t="s">
        <v>3972</v>
      </c>
    </row>
    <row customHeight="1" ht="11.25">
      <c r="A29" s="283" t="s">
        <v>3973</v>
      </c>
      <c r="B29" s="283" t="s">
        <v>3974</v>
      </c>
    </row>
    <row customHeight="1" ht="11.25">
      <c r="A30" s="283" t="s">
        <v>3975</v>
      </c>
      <c r="B30" s="283" t="s">
        <v>3976</v>
      </c>
    </row>
    <row customHeight="1" ht="11.25">
      <c r="A31" s="283" t="s">
        <v>3977</v>
      </c>
      <c r="B31" s="283" t="s">
        <v>3978</v>
      </c>
    </row>
    <row customHeight="1" ht="11.25">
      <c r="A32" s="283" t="s">
        <v>3979</v>
      </c>
      <c r="B32" s="283" t="s">
        <v>3980</v>
      </c>
    </row>
    <row customHeight="1" ht="11.25">
      <c r="A33" s="283" t="s">
        <v>3981</v>
      </c>
      <c r="B33" s="283" t="s">
        <v>3982</v>
      </c>
    </row>
    <row customHeight="1" ht="11.25">
      <c r="A34" s="283" t="s">
        <v>3983</v>
      </c>
      <c r="B34" s="283" t="s">
        <v>3984</v>
      </c>
    </row>
    <row customHeight="1" ht="11.25">
      <c r="A35" s="283" t="s">
        <v>3985</v>
      </c>
      <c r="B35" s="283" t="s">
        <v>3986</v>
      </c>
    </row>
    <row customHeight="1" ht="11.25">
      <c r="A36" s="283" t="s">
        <v>3987</v>
      </c>
      <c r="B36" s="283" t="s">
        <v>3988</v>
      </c>
    </row>
    <row customHeight="1" ht="11.25">
      <c r="A37" s="283" t="s">
        <v>3989</v>
      </c>
      <c r="B37" s="283" t="s">
        <v>3990</v>
      </c>
    </row>
    <row customHeight="1" ht="11.25">
      <c r="A38" s="283" t="s">
        <v>3991</v>
      </c>
      <c r="B38" s="283" t="s">
        <v>3992</v>
      </c>
    </row>
    <row customHeight="1" ht="11.25">
      <c r="A39" s="283" t="s">
        <v>3993</v>
      </c>
      <c r="B39" s="283" t="s">
        <v>3994</v>
      </c>
    </row>
    <row customHeight="1" ht="11.25">
      <c r="A40" s="283" t="s">
        <v>3995</v>
      </c>
      <c r="B40" s="283" t="s">
        <v>3996</v>
      </c>
    </row>
    <row customHeight="1" ht="11.25">
      <c r="A41" s="283" t="s">
        <v>3997</v>
      </c>
      <c r="B41" s="283" t="s">
        <v>3998</v>
      </c>
    </row>
    <row customHeight="1" ht="11.25">
      <c r="A42" s="283" t="s">
        <v>3999</v>
      </c>
      <c r="B42" s="283" t="s">
        <v>4000</v>
      </c>
    </row>
    <row customHeight="1" ht="11.25">
      <c r="A43" s="283" t="s">
        <v>4001</v>
      </c>
      <c r="B43" s="283" t="s">
        <v>4002</v>
      </c>
    </row>
    <row customHeight="1" ht="11.25">
      <c r="A44" s="283" t="s">
        <v>4003</v>
      </c>
      <c r="B44" s="283" t="s">
        <v>4004</v>
      </c>
    </row>
    <row customHeight="1" ht="11.25">
      <c r="A45" s="283" t="s">
        <v>4005</v>
      </c>
      <c r="B45" s="283" t="s">
        <v>4006</v>
      </c>
    </row>
    <row customHeight="1" ht="11.25">
      <c r="A46" s="283" t="s">
        <v>4007</v>
      </c>
      <c r="B46" s="283" t="s">
        <v>4008</v>
      </c>
    </row>
    <row customHeight="1" ht="11.25">
      <c r="A47" s="283" t="s">
        <v>4009</v>
      </c>
      <c r="B47" s="283" t="s">
        <v>4010</v>
      </c>
    </row>
    <row customHeight="1" ht="11.25">
      <c r="A48" s="283" t="s">
        <v>4011</v>
      </c>
      <c r="B48" s="283" t="s">
        <v>4012</v>
      </c>
    </row>
    <row customHeight="1" ht="11.25">
      <c r="A49" s="283" t="s">
        <v>4013</v>
      </c>
      <c r="B49" s="283" t="s">
        <v>4014</v>
      </c>
    </row>
    <row customHeight="1" ht="11.25">
      <c r="A50" s="283" t="s">
        <v>4015</v>
      </c>
      <c r="B50" s="283" t="s">
        <v>4016</v>
      </c>
    </row>
    <row customHeight="1" ht="11.25">
      <c r="A51" s="283" t="s">
        <v>4017</v>
      </c>
      <c r="B51" s="283" t="s">
        <v>4018</v>
      </c>
    </row>
    <row customHeight="1" ht="11.25">
      <c r="A52" s="283" t="s">
        <v>4019</v>
      </c>
      <c r="B52" s="283" t="s">
        <v>4020</v>
      </c>
    </row>
    <row customHeight="1" ht="11.25">
      <c r="A53" s="283" t="s">
        <v>4021</v>
      </c>
      <c r="B53" s="283" t="s">
        <v>4022</v>
      </c>
    </row>
    <row customHeight="1" ht="11.25">
      <c r="A54" s="283" t="s">
        <v>4023</v>
      </c>
      <c r="B54" s="283" t="s">
        <v>4024</v>
      </c>
    </row>
    <row customHeight="1" ht="11.25">
      <c r="A55" s="283" t="s">
        <v>4025</v>
      </c>
      <c r="B55" s="283" t="s">
        <v>4026</v>
      </c>
    </row>
    <row customHeight="1" ht="11.25">
      <c r="A56" s="283" t="s">
        <v>4027</v>
      </c>
      <c r="B56" s="283" t="s">
        <v>4028</v>
      </c>
    </row>
    <row customHeight="1" ht="11.25">
      <c r="A57" s="283" t="s">
        <v>4029</v>
      </c>
      <c r="B57" s="283" t="s">
        <v>4030</v>
      </c>
    </row>
    <row customHeight="1" ht="11.25">
      <c r="A58" s="283" t="s">
        <v>4031</v>
      </c>
      <c r="B58" s="283" t="s">
        <v>4032</v>
      </c>
    </row>
    <row customHeight="1" ht="11.25">
      <c r="A59" s="283" t="s">
        <v>4033</v>
      </c>
      <c r="B59" s="283" t="s">
        <v>4034</v>
      </c>
    </row>
    <row customHeight="1" ht="11.25">
      <c r="A60" s="283" t="s">
        <v>4035</v>
      </c>
      <c r="B60" s="283" t="s">
        <v>4036</v>
      </c>
    </row>
    <row customHeight="1" ht="11.25">
      <c r="A61" s="283"/>
      <c r="B61" s="283" t="s">
        <v>4037</v>
      </c>
    </row>
    <row customHeight="1" ht="11.25">
      <c r="A62" s="283"/>
      <c r="B62" s="283" t="s">
        <v>4038</v>
      </c>
    </row>
    <row customHeight="1" ht="11.25">
      <c r="A63" s="283"/>
      <c r="B63" s="283" t="s">
        <v>4039</v>
      </c>
    </row>
    <row customHeight="1" ht="11.25">
      <c r="A64" s="283"/>
      <c r="B64" s="283" t="s">
        <v>4040</v>
      </c>
    </row>
    <row customHeight="1" ht="11.25">
      <c r="A65" s="283"/>
      <c r="B65" s="283" t="s">
        <v>4041</v>
      </c>
    </row>
    <row customHeight="1" ht="11.25">
      <c r="A66" s="283"/>
      <c r="B66" s="283" t="s">
        <v>4042</v>
      </c>
    </row>
    <row customHeight="1" ht="11.25">
      <c r="A67" s="283"/>
      <c r="B67" s="283" t="s">
        <v>4043</v>
      </c>
    </row>
    <row customHeight="1" ht="11.25">
      <c r="A68" s="283"/>
      <c r="B68" s="283" t="s">
        <v>4044</v>
      </c>
    </row>
    <row customHeight="1" ht="11.25">
      <c r="A69" s="283"/>
      <c r="B69" s="283" t="s">
        <v>4045</v>
      </c>
    </row>
    <row customHeight="1" ht="11.25">
      <c r="A70" s="283"/>
      <c r="B70" s="283" t="s">
        <v>4046</v>
      </c>
    </row>
    <row customHeight="1" ht="11.25">
      <c r="A71" s="283"/>
      <c r="B71" s="283"/>
    </row>
    <row customHeight="1" ht="11.25">
      <c r="A72" s="283"/>
      <c r="B72" s="283"/>
    </row>
    <row customHeight="1" ht="11.25">
      <c r="A73" s="283"/>
      <c r="B73" s="283"/>
    </row>
    <row customHeight="1" ht="11.25">
      <c r="A74" s="283"/>
      <c r="B74" s="283"/>
    </row>
    <row customHeight="1" ht="11.25">
      <c r="A75" s="283"/>
      <c r="B75" s="283"/>
    </row>
    <row customHeight="1" ht="11.25">
      <c r="A76" s="283"/>
      <c r="B76" s="283"/>
    </row>
    <row customHeight="1" ht="11.25">
      <c r="A77" s="283"/>
      <c r="B77" s="283"/>
    </row>
    <row customHeight="1" ht="11.25">
      <c r="A78" s="283"/>
      <c r="B78" s="283"/>
    </row>
    <row customHeight="1" ht="11.25">
      <c r="A79" s="283"/>
      <c r="B79" s="283"/>
    </row>
    <row customHeight="1" ht="11.25">
      <c r="A80" s="283"/>
      <c r="B80" s="283"/>
    </row>
    <row customHeight="1" ht="11.25">
      <c r="A81" s="283"/>
      <c r="B81" s="283"/>
    </row>
    <row customHeight="1" ht="11.25">
      <c r="A82" s="283"/>
      <c r="B82" s="283"/>
    </row>
    <row customHeight="1" ht="11.25">
      <c r="A83" s="283"/>
      <c r="B83" s="283"/>
    </row>
    <row customHeight="1" ht="11.25">
      <c r="A84" s="283"/>
      <c r="B84" s="283"/>
    </row>
    <row customHeight="1" ht="11.25">
      <c r="A85" s="283"/>
      <c r="B85" s="283"/>
    </row>
    <row customHeight="1" ht="11.25">
      <c r="A86" s="283"/>
      <c r="B86" s="283"/>
    </row>
    <row customHeight="1" ht="11.25">
      <c r="A87" s="283"/>
      <c r="B87" s="283"/>
    </row>
    <row customHeight="1" ht="11.25">
      <c r="A88" s="283"/>
      <c r="B88" s="283"/>
    </row>
    <row customHeight="1" ht="11.25">
      <c r="A89" s="283"/>
      <c r="B89" s="283"/>
    </row>
    <row customHeight="1" ht="11.25">
      <c r="A90" s="283"/>
      <c r="B90" s="283"/>
    </row>
    <row customHeight="1" ht="11.25">
      <c r="A91" s="283"/>
      <c r="B91" s="283"/>
    </row>
    <row customHeight="1" ht="11.25">
      <c r="A92" s="283"/>
      <c r="B92" s="283"/>
    </row>
    <row customHeight="1" ht="11.25">
      <c r="A93" s="283"/>
      <c r="B93" s="283"/>
    </row>
    <row customHeight="1" ht="11.25">
      <c r="A94" s="283"/>
      <c r="B94" s="283"/>
    </row>
    <row customHeight="1" ht="11.25">
      <c r="A95" s="283"/>
      <c r="B95" s="283"/>
    </row>
    <row customHeight="1" ht="11.25">
      <c r="A96" s="283"/>
      <c r="B96" s="283"/>
    </row>
    <row customHeight="1" ht="11.25">
      <c r="A97" s="283"/>
      <c r="B97" s="283"/>
    </row>
    <row customHeight="1" ht="11.25">
      <c r="A98" s="283"/>
      <c r="B98" s="283"/>
    </row>
    <row customHeight="1" ht="11.25">
      <c r="A99" s="283"/>
      <c r="B99" s="283"/>
    </row>
    <row customHeight="1" ht="11.25">
      <c r="A100" s="283"/>
      <c r="B100" s="283"/>
    </row>
    <row customHeight="1" ht="11.25">
      <c r="A101" s="283"/>
      <c r="B101" s="283"/>
    </row>
    <row customHeight="1" ht="11.25">
      <c r="A102" s="283"/>
      <c r="B102" s="283"/>
    </row>
    <row customHeight="1" ht="11.25">
      <c r="A103" s="283"/>
      <c r="B103" s="283"/>
    </row>
    <row customHeight="1" ht="11.25">
      <c r="A104" s="283"/>
      <c r="B104" s="283"/>
    </row>
    <row customHeight="1" ht="11.25">
      <c r="A105" s="283"/>
      <c r="B105" s="283"/>
    </row>
    <row customHeight="1" ht="11.25">
      <c r="A106" s="283"/>
      <c r="B106" s="283"/>
    </row>
    <row customHeight="1" ht="11.25">
      <c r="A107" s="283"/>
      <c r="B107" s="283"/>
    </row>
    <row customHeight="1" ht="11.25">
      <c r="A108" s="283"/>
      <c r="B108" s="283"/>
    </row>
    <row customHeight="1" ht="11.25">
      <c r="A109" s="283"/>
      <c r="B109" s="283"/>
    </row>
    <row customHeight="1" ht="11.25">
      <c r="A110" s="283"/>
      <c r="B110" s="283"/>
    </row>
    <row customHeight="1" ht="11.25">
      <c r="A111" s="283"/>
      <c r="B111" s="283"/>
    </row>
    <row customHeight="1" ht="11.25">
      <c r="A112" s="283"/>
      <c r="B112" s="283"/>
    </row>
    <row customHeight="1" ht="11.25">
      <c r="A113" s="283"/>
      <c r="B113" s="283"/>
    </row>
    <row customHeight="1" ht="11.25">
      <c r="A114" s="283"/>
      <c r="B114" s="283"/>
    </row>
    <row customHeight="1" ht="11.25">
      <c r="A115" s="283"/>
      <c r="B115" s="283"/>
    </row>
    <row customHeight="1" ht="11.25">
      <c r="A116" s="283"/>
      <c r="B116" s="283"/>
    </row>
    <row customHeight="1" ht="11.25">
      <c r="A117" s="283"/>
      <c r="B117" s="283"/>
    </row>
    <row customHeight="1" ht="11.25">
      <c r="A118" s="283"/>
      <c r="B118" s="283"/>
    </row>
    <row customHeight="1" ht="11.25">
      <c r="A119" s="283"/>
      <c r="B119" s="283"/>
    </row>
    <row customHeight="1" ht="11.25">
      <c r="A120" s="283"/>
      <c r="B120" s="283"/>
    </row>
    <row customHeight="1" ht="11.25">
      <c r="A121" s="283"/>
      <c r="B121" s="283"/>
    </row>
    <row customHeight="1" ht="11.25">
      <c r="A122" s="283"/>
      <c r="B122" s="283"/>
    </row>
    <row customHeight="1" ht="11.25">
      <c r="A123" s="283"/>
      <c r="B123" s="283"/>
    </row>
    <row customHeight="1" ht="11.25">
      <c r="A124" s="283"/>
      <c r="B124" s="283"/>
    </row>
    <row customHeight="1" ht="11.25">
      <c r="A125" s="283"/>
      <c r="B125" s="283"/>
    </row>
    <row customHeight="1" ht="11.25">
      <c r="A126" s="283"/>
      <c r="B126" s="283"/>
    </row>
    <row customHeight="1" ht="11.25">
      <c r="A127" s="283"/>
      <c r="B127" s="283"/>
    </row>
    <row customHeight="1" ht="11.25">
      <c r="A128" s="283"/>
      <c r="B128" s="283"/>
    </row>
    <row customHeight="1" ht="11.25">
      <c r="A129" s="283"/>
      <c r="B129" s="283"/>
    </row>
    <row customHeight="1" ht="11.25">
      <c r="A130" s="283"/>
      <c r="B130" s="283"/>
    </row>
    <row customHeight="1" ht="11.25">
      <c r="A131" s="283"/>
      <c r="B131" s="283"/>
    </row>
    <row customHeight="1" ht="11.25">
      <c r="A132" s="283"/>
      <c r="B132" s="283"/>
    </row>
    <row customHeight="1" ht="11.25">
      <c r="A133" s="283"/>
      <c r="B133" s="283"/>
    </row>
    <row customHeight="1" ht="11.25">
      <c r="A134" s="283"/>
      <c r="B134" s="283"/>
    </row>
    <row customHeight="1" ht="11.25">
      <c r="A135" s="283"/>
      <c r="B135" s="283"/>
    </row>
    <row customHeight="1" ht="11.25">
      <c r="A136" s="283"/>
      <c r="B136" s="283"/>
    </row>
    <row customHeight="1" ht="11.25">
      <c r="A137" s="283"/>
      <c r="B137" s="283"/>
    </row>
    <row customHeight="1" ht="11.25">
      <c r="A138" s="283"/>
      <c r="B138" s="283"/>
    </row>
    <row customHeight="1" ht="11.25">
      <c r="A139" s="283"/>
      <c r="B139" s="283"/>
    </row>
    <row customHeight="1" ht="11.25">
      <c r="A140" s="283"/>
      <c r="B140" s="283"/>
    </row>
    <row customHeight="1" ht="11.25">
      <c r="A141" s="283"/>
      <c r="B141" s="283"/>
    </row>
    <row customHeight="1" ht="11.25">
      <c r="A142" s="283"/>
      <c r="B142" s="283"/>
    </row>
    <row customHeight="1" ht="11.25">
      <c r="A143" s="283"/>
      <c r="B143" s="283"/>
    </row>
    <row customHeight="1" ht="11.25">
      <c r="A144" s="283"/>
      <c r="B144" s="283"/>
    </row>
    <row customHeight="1" ht="11.25">
      <c r="A145" s="283"/>
      <c r="B145" s="283"/>
    </row>
    <row customHeight="1" ht="11.25">
      <c r="A146" s="283"/>
      <c r="B146" s="283"/>
    </row>
    <row customHeight="1" ht="11.25">
      <c r="A147" s="283"/>
      <c r="B147" s="283"/>
    </row>
    <row customHeight="1" ht="11.25">
      <c r="A148" s="283"/>
      <c r="B148" s="283"/>
    </row>
    <row customHeight="1" ht="11.25">
      <c r="A149" s="283"/>
      <c r="B149" s="283"/>
    </row>
    <row customHeight="1" ht="11.25">
      <c r="A150" s="283"/>
      <c r="B150" s="283"/>
    </row>
    <row customHeight="1" ht="11.25">
      <c r="A151" s="283"/>
      <c r="B151" s="283"/>
    </row>
    <row customHeight="1" ht="11.25">
      <c r="A152" s="283"/>
      <c r="B152" s="283"/>
    </row>
    <row customHeight="1" ht="11.25">
      <c r="A153" s="283"/>
      <c r="B153" s="283"/>
    </row>
    <row customHeight="1" ht="11.25">
      <c r="A154" s="283"/>
      <c r="B154" s="283"/>
    </row>
    <row customHeight="1" ht="11.25">
      <c r="A155" s="283"/>
      <c r="B155" s="283"/>
    </row>
    <row customHeight="1" ht="11.25">
      <c r="A156" s="283"/>
      <c r="B156" s="283"/>
    </row>
    <row customHeight="1" ht="11.25">
      <c r="A157" s="283"/>
      <c r="B157" s="283"/>
    </row>
    <row customHeight="1" ht="11.25">
      <c r="A158" s="283"/>
      <c r="B158" s="283"/>
    </row>
    <row customHeight="1" ht="11.25">
      <c r="A159" s="283"/>
      <c r="B159" s="283"/>
    </row>
    <row customHeight="1" ht="11.25">
      <c r="A160" s="283"/>
      <c r="B160" s="283"/>
    </row>
    <row customHeight="1" ht="11.25">
      <c r="A161" s="283"/>
      <c r="B161" s="283"/>
    </row>
    <row customHeight="1" ht="11.25">
      <c r="A162" s="283"/>
      <c r="B162" s="283"/>
    </row>
    <row customHeight="1" ht="11.25">
      <c r="A163" s="283"/>
      <c r="B163" s="283"/>
    </row>
    <row customHeight="1" ht="11.25">
      <c r="A164" s="283"/>
      <c r="B164" s="283"/>
    </row>
    <row customHeight="1" ht="11.25">
      <c r="A165" s="283"/>
      <c r="B165" s="283"/>
    </row>
    <row customHeight="1" ht="11.25">
      <c r="A166" s="283"/>
      <c r="B166" s="283"/>
    </row>
    <row customHeight="1" ht="11.25">
      <c r="A167" s="283"/>
      <c r="B167" s="283"/>
    </row>
    <row customHeight="1" ht="11.25">
      <c r="A168" s="283"/>
      <c r="B168" s="283"/>
    </row>
    <row customHeight="1" ht="11.25">
      <c r="A169" s="283"/>
      <c r="B169" s="283"/>
    </row>
    <row customHeight="1" ht="11.25">
      <c r="A170" s="283"/>
      <c r="B170" s="283"/>
    </row>
    <row customHeight="1" ht="11.25">
      <c r="A171" s="283"/>
      <c r="B171" s="283"/>
    </row>
    <row customHeight="1" ht="11.25">
      <c r="A172" s="283"/>
      <c r="B172" s="283"/>
    </row>
    <row customHeight="1" ht="11.25">
      <c r="A173" s="283"/>
      <c r="B173" s="283"/>
    </row>
    <row customHeight="1" ht="11.25">
      <c r="A174" s="283"/>
      <c r="B174" s="283"/>
    </row>
    <row customHeight="1" ht="11.25">
      <c r="A175" s="283"/>
      <c r="B175" s="283"/>
    </row>
    <row customHeight="1" ht="11.25">
      <c r="A176" s="283"/>
      <c r="B176" s="283"/>
    </row>
    <row customHeight="1" ht="11.25">
      <c r="A177" s="283"/>
      <c r="B177" s="283"/>
    </row>
    <row customHeight="1" ht="11.25">
      <c r="A178" s="283"/>
      <c r="B178" s="283"/>
    </row>
    <row customHeight="1" ht="11.25">
      <c r="A179" s="283"/>
      <c r="B179" s="283"/>
    </row>
    <row customHeight="1" ht="11.25">
      <c r="A180" s="283"/>
      <c r="B180" s="283"/>
    </row>
    <row customHeight="1" ht="11.25">
      <c r="A181" s="283"/>
      <c r="B181" s="283"/>
    </row>
    <row customHeight="1" ht="11.25">
      <c r="A182" s="283"/>
      <c r="B182" s="283"/>
    </row>
    <row customHeight="1" ht="11.25">
      <c r="A183" s="283"/>
      <c r="B183" s="283"/>
    </row>
    <row customHeight="1" ht="11.25">
      <c r="A184" s="283"/>
      <c r="B184" s="283"/>
    </row>
    <row customHeight="1" ht="11.25">
      <c r="A185" s="283"/>
      <c r="B185" s="283"/>
    </row>
    <row customHeight="1" ht="11.25">
      <c r="A186" s="283"/>
      <c r="B186" s="283"/>
    </row>
    <row customHeight="1" ht="11.25">
      <c r="A187" s="283"/>
      <c r="B187" s="283"/>
    </row>
    <row customHeight="1" ht="11.25">
      <c r="A188" s="283"/>
      <c r="B188" s="283"/>
    </row>
    <row customHeight="1" ht="11.25">
      <c r="A189" s="283"/>
      <c r="B189" s="283"/>
    </row>
    <row customHeight="1" ht="11.25">
      <c r="A190" s="283"/>
      <c r="B190" s="283"/>
    </row>
    <row customHeight="1" ht="11.25">
      <c r="A191" s="283"/>
      <c r="B191" s="283"/>
    </row>
    <row customHeight="1" ht="11.25">
      <c r="A192" s="283"/>
      <c r="B192" s="283"/>
    </row>
    <row customHeight="1" ht="11.25">
      <c r="A193" s="283"/>
      <c r="B193" s="283"/>
    </row>
    <row customHeight="1" ht="11.25">
      <c r="A194" s="283"/>
      <c r="B194" s="283"/>
    </row>
    <row customHeight="1" ht="11.25">
      <c r="A195" s="283"/>
      <c r="B195" s="283"/>
    </row>
    <row customHeight="1" ht="11.25">
      <c r="A196" s="283"/>
      <c r="B196" s="283"/>
    </row>
    <row customHeight="1" ht="11.25">
      <c r="A197" s="283"/>
      <c r="B197" s="283"/>
    </row>
    <row customHeight="1" ht="11.25">
      <c r="A198" s="283"/>
      <c r="B198" s="283"/>
    </row>
    <row customHeight="1" ht="11.25">
      <c r="A199" s="283"/>
      <c r="B199" s="283"/>
    </row>
    <row customHeight="1" ht="11.25">
      <c r="A200" s="283"/>
      <c r="B200" s="283"/>
    </row>
    <row customHeight="1" ht="11.25">
      <c r="A201" s="283"/>
      <c r="B201" s="283"/>
    </row>
    <row customHeight="1" ht="11.25">
      <c r="A202" s="283"/>
      <c r="B202" s="283"/>
    </row>
    <row customHeight="1" ht="11.25">
      <c r="A203" s="283"/>
      <c r="B203" s="283"/>
    </row>
    <row customHeight="1" ht="11.25">
      <c r="A204" s="283"/>
      <c r="B204" s="283"/>
    </row>
    <row customHeight="1" ht="11.25">
      <c r="A205" s="283"/>
      <c r="B205" s="283"/>
    </row>
    <row customHeight="1" ht="11.25">
      <c r="A206" s="283"/>
      <c r="B206" s="283"/>
    </row>
    <row customHeight="1" ht="11.25">
      <c r="A207" s="283"/>
      <c r="B207" s="283"/>
    </row>
    <row customHeight="1" ht="11.25">
      <c r="A208" s="283"/>
      <c r="B208" s="283"/>
    </row>
    <row customHeight="1" ht="11.25">
      <c r="A209" s="283"/>
      <c r="B209" s="283"/>
    </row>
    <row customHeight="1" ht="11.25">
      <c r="A210" s="283"/>
      <c r="B210" s="283"/>
    </row>
    <row customHeight="1" ht="11.25">
      <c r="A211" s="283"/>
      <c r="B211" s="283"/>
    </row>
    <row customHeight="1" ht="11.25">
      <c r="A212" s="283"/>
      <c r="B212" s="283"/>
    </row>
    <row customHeight="1" ht="11.25">
      <c r="A213" s="283"/>
      <c r="B213" s="283"/>
    </row>
    <row customHeight="1" ht="11.25">
      <c r="A214" s="283"/>
      <c r="B214" s="283"/>
    </row>
    <row customHeight="1" ht="11.25">
      <c r="A215" s="283"/>
      <c r="B215" s="283"/>
    </row>
    <row customHeight="1" ht="11.25">
      <c r="A216" s="283"/>
      <c r="B216" s="283"/>
    </row>
    <row customHeight="1" ht="11.25">
      <c r="A217" s="283"/>
      <c r="B217" s="283"/>
    </row>
    <row customHeight="1" ht="11.25">
      <c r="A218" s="283"/>
      <c r="B218" s="283"/>
    </row>
    <row customHeight="1" ht="11.25">
      <c r="A219" s="283"/>
      <c r="B219" s="283"/>
    </row>
    <row customHeight="1" ht="11.25">
      <c r="A220" s="283"/>
      <c r="B220" s="283"/>
    </row>
    <row customHeight="1" ht="11.25">
      <c r="A221" s="283"/>
      <c r="B221" s="283"/>
    </row>
    <row customHeight="1" ht="11.25">
      <c r="A222" s="283"/>
      <c r="B222" s="283"/>
    </row>
    <row customHeight="1" ht="11.25">
      <c r="A223" s="283"/>
      <c r="B223" s="283"/>
    </row>
    <row customHeight="1" ht="11.25">
      <c r="A224" s="283"/>
      <c r="B224" s="283"/>
    </row>
    <row customHeight="1" ht="11.25">
      <c r="A225" s="283"/>
      <c r="B225" s="283"/>
    </row>
    <row customHeight="1" ht="11.25">
      <c r="A226" s="283"/>
      <c r="B226" s="283"/>
    </row>
    <row customHeight="1" ht="11.25">
      <c r="A227" s="283"/>
      <c r="B227" s="283"/>
    </row>
    <row customHeight="1" ht="11.25">
      <c r="A228" s="283"/>
      <c r="B228" s="283"/>
    </row>
    <row customHeight="1" ht="11.25">
      <c r="A229" s="283"/>
      <c r="B229" s="283"/>
    </row>
    <row customHeight="1" ht="11.25">
      <c r="A230" s="283"/>
      <c r="B230" s="283"/>
    </row>
    <row customHeight="1" ht="11.25">
      <c r="A231" s="283"/>
      <c r="B231" s="283"/>
    </row>
    <row customHeight="1" ht="11.25">
      <c r="A232" s="283"/>
      <c r="B232" s="283"/>
    </row>
    <row customHeight="1" ht="11.25">
      <c r="A233" s="283"/>
      <c r="B233" s="283"/>
    </row>
    <row customHeight="1" ht="11.25">
      <c r="A234" s="283"/>
      <c r="B234" s="283"/>
    </row>
    <row customHeight="1" ht="11.25">
      <c r="A235" s="283"/>
      <c r="B235" s="283"/>
    </row>
    <row customHeight="1" ht="11.25">
      <c r="A236" s="283"/>
      <c r="B236" s="283"/>
    </row>
    <row customHeight="1" ht="11.25">
      <c r="A237" s="283"/>
      <c r="B237" s="283"/>
    </row>
    <row customHeight="1" ht="11.25">
      <c r="A238" s="283"/>
      <c r="B238" s="283"/>
    </row>
    <row customHeight="1" ht="11.25">
      <c r="A239" s="283"/>
      <c r="B239" s="283"/>
    </row>
    <row customHeight="1" ht="11.25">
      <c r="A240" s="283"/>
      <c r="B240" s="283"/>
    </row>
    <row customHeight="1" ht="11.25">
      <c r="A241" s="283"/>
      <c r="B241" s="283"/>
    </row>
    <row customHeight="1" ht="11.25">
      <c r="A242" s="283"/>
      <c r="B242" s="283"/>
    </row>
    <row customHeight="1" ht="11.25">
      <c r="A243" s="283"/>
      <c r="B243" s="283"/>
    </row>
    <row customHeight="1" ht="11.25">
      <c r="A244" s="283"/>
      <c r="B244" s="283"/>
    </row>
    <row customHeight="1" ht="11.25">
      <c r="A245" s="283"/>
      <c r="B245" s="283"/>
    </row>
    <row customHeight="1" ht="11.25">
      <c r="A246" s="283"/>
      <c r="B246" s="283"/>
    </row>
    <row customHeight="1" ht="11.25">
      <c r="A247" s="283"/>
      <c r="B247" s="283"/>
    </row>
    <row customHeight="1" ht="11.25">
      <c r="A248" s="283"/>
      <c r="B248" s="283"/>
    </row>
    <row customHeight="1" ht="11.25">
      <c r="A249" s="283"/>
      <c r="B249" s="283"/>
    </row>
    <row customHeight="1" ht="11.25">
      <c r="A250" s="283"/>
      <c r="B250" s="283"/>
    </row>
    <row customHeight="1" ht="11.25">
      <c r="A251" s="283"/>
      <c r="B251" s="283"/>
    </row>
    <row customHeight="1" ht="11.25">
      <c r="A252" s="283"/>
      <c r="B252" s="283"/>
    </row>
    <row customHeight="1" ht="11.25">
      <c r="A253" s="283"/>
      <c r="B253" s="283"/>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599B6D-0493-3A0A-D8FD-09535192366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3037" width="3.7109375" customWidth="1"/>
    <col min="2" max="2" style="23037" width="90.7109375" customWidth="1"/>
    <col min="3" max="4" style="23037" width="9.140625"/>
  </cols>
  <sheetData>
    <row customHeight="1" ht="11.25">
      <c r="B1" s="315" t="s">
        <v>4047</v>
      </c>
    </row>
    <row customHeight="1" ht="90">
      <c r="B2" s="316" t="s">
        <v>4048</v>
      </c>
    </row>
    <row customHeight="1" ht="67.5">
      <c r="B3" s="316" t="s">
        <v>4049</v>
      </c>
    </row>
    <row customHeight="1" ht="33.75">
      <c r="B4" s="316" t="s">
        <v>4050</v>
      </c>
    </row>
    <row customHeight="1" ht="11.25">
      <c r="B5" s="316" t="s">
        <v>4051</v>
      </c>
    </row>
    <row customHeight="1" ht="22.5">
      <c r="B6" s="316" t="s">
        <v>4052</v>
      </c>
    </row>
    <row customHeight="1" ht="22.5">
      <c r="B7" s="316" t="s">
        <v>4053</v>
      </c>
    </row>
    <row customHeight="1" ht="22.5">
      <c r="B8" s="316" t="s">
        <v>4054</v>
      </c>
    </row>
    <row customHeight="1" ht="22.5">
      <c r="B9" s="316" t="s">
        <v>4055</v>
      </c>
    </row>
    <row customHeight="1" ht="56.25">
      <c r="B10" s="316" t="s">
        <v>4056</v>
      </c>
    </row>
    <row customHeight="1" ht="12.75">
      <c r="B11" s="382" t="s">
        <v>4057</v>
      </c>
    </row>
    <row customHeight="1" ht="11.25">
      <c r="B12" s="315" t="s">
        <v>4058</v>
      </c>
    </row>
    <row customHeight="1" ht="22.5">
      <c r="B13" s="316" t="s">
        <v>4059</v>
      </c>
    </row>
    <row customHeight="1" ht="67.5">
      <c r="B14" s="316" t="s">
        <v>4060</v>
      </c>
    </row>
    <row customHeight="1" ht="22.5">
      <c r="B15" s="316" t="s">
        <v>4061</v>
      </c>
    </row>
    <row customHeight="1" ht="11.25">
      <c r="B16" s="315" t="s">
        <v>4062</v>
      </c>
      <c r="D16" s="323"/>
    </row>
    <row customHeight="1" ht="33.75">
      <c r="B17" s="316" t="s">
        <v>4063</v>
      </c>
    </row>
    <row customHeight="1" ht="33.75">
      <c r="B18" s="316" t="s">
        <v>4064</v>
      </c>
    </row>
    <row customHeight="1" ht="11.25">
      <c r="B19" s="316" t="s">
        <v>4065</v>
      </c>
    </row>
    <row customHeight="1" ht="33.75">
      <c r="B20" s="316" t="s">
        <v>4066</v>
      </c>
    </row>
    <row customHeight="1" ht="11.25">
      <c r="B21" s="315" t="s">
        <v>4067</v>
      </c>
    </row>
    <row customHeight="1" ht="11.25">
      <c r="B22" s="316" t="s">
        <v>4068</v>
      </c>
    </row>
    <row r="24" customHeight="1" ht="22.5">
      <c r="B24" s="384" t="s">
        <v>4069</v>
      </c>
    </row>
    <row r="26" customHeight="1" ht="11.25">
      <c r="B26" s="315" t="s">
        <v>4070</v>
      </c>
    </row>
    <row customHeight="1" ht="22.5">
      <c r="B27" s="383" t="s">
        <v>502</v>
      </c>
    </row>
    <row customHeight="1" ht="56.25">
      <c r="B28" s="383" t="s">
        <v>4071</v>
      </c>
    </row>
    <row customHeight="1" ht="11.25">
      <c r="B29" s="432" t="s">
        <v>4072</v>
      </c>
    </row>
    <row customHeight="1" ht="22.5">
      <c r="B30" s="383" t="s">
        <v>4073</v>
      </c>
    </row>
    <row r="32" customHeight="1" ht="11.25">
      <c r="A32" s="410"/>
      <c r="B32" s="411" t="s">
        <v>4074</v>
      </c>
    </row>
    <row customHeight="1" ht="14.25">
      <c r="A33" s="412">
        <v>1</v>
      </c>
      <c r="B33" s="413" t="s">
        <v>4075</v>
      </c>
    </row>
    <row customHeight="1" ht="14.25">
      <c r="A34" s="412">
        <v>2</v>
      </c>
      <c r="B34" s="413" t="s">
        <v>4076</v>
      </c>
    </row>
    <row customHeight="1" ht="11.25">
      <c r="B35" s="411" t="s">
        <v>4077</v>
      </c>
    </row>
    <row customHeight="1" ht="11.25">
      <c r="B36" s="413" t="s">
        <v>4078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2056</vt:i4>
      </vt:variant>
    </vt:vector>
  </HeadingPairs>
  <TitlesOfParts>
    <vt:vector size="205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2023-11-10T12:28:34Z</dcterms:modified>
</cp:coreProperties>
</file>

<file path=docProps/custom.xml><?xml version="1.0" encoding="utf-8"?>
<Properties xmlns="http://schemas.openxmlformats.org/officeDocument/2006/custom-properties" xmlns:vt="http://schemas.openxmlformats.org/officeDocument/2006/docPropsVTypes"/>
</file>